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4952" windowHeight="10188"/>
  </bookViews>
  <sheets>
    <sheet name="109學年入學" sheetId="16" r:id="rId1"/>
    <sheet name="108學年入學" sheetId="15" r:id="rId2"/>
    <sheet name="107學年入學" sheetId="14" r:id="rId3"/>
    <sheet name="106學年入學" sheetId="13" r:id="rId4"/>
    <sheet name="105學年入學" sheetId="12" r:id="rId5"/>
    <sheet name="104學年入學" sheetId="11" r:id="rId6"/>
    <sheet name="103學年入學" sheetId="10" r:id="rId7"/>
    <sheet name="102學年入學" sheetId="9" r:id="rId8"/>
    <sheet name="101學年入學" sheetId="8" r:id="rId9"/>
    <sheet name="100學年入學" sheetId="7" r:id="rId10"/>
    <sheet name="99學年入學" sheetId="6" r:id="rId11"/>
    <sheet name="98學年度入學" sheetId="5" r:id="rId12"/>
    <sheet name="97學年度入學" sheetId="1" r:id="rId13"/>
    <sheet name="96學年度入學" sheetId="2" r:id="rId14"/>
    <sheet name="95學年度入學" sheetId="3" r:id="rId15"/>
    <sheet name="94學年度以前入學" sheetId="4" r:id="rId16"/>
  </sheets>
  <definedNames>
    <definedName name="_xlnm._FilterDatabase" localSheetId="4" hidden="1">'105學年入學'!$A$2:$N$109</definedName>
    <definedName name="_xlnm.Print_Titles" localSheetId="15">'94學年度以前入學'!$2:$2</definedName>
    <definedName name="_xlnm.Print_Titles" localSheetId="14">'95學年度入學'!$2:$2</definedName>
    <definedName name="_xlnm.Print_Titles" localSheetId="13">'96學年度入學'!$2:$2</definedName>
    <definedName name="_xlnm.Print_Titles" localSheetId="12">'97學年度入學'!$2:$2</definedName>
  </definedNames>
  <calcPr calcId="145621"/>
</workbook>
</file>

<file path=xl/calcChain.xml><?xml version="1.0" encoding="utf-8"?>
<calcChain xmlns="http://schemas.openxmlformats.org/spreadsheetml/2006/main">
  <c r="J79" i="16" l="1"/>
  <c r="J81" i="16"/>
  <c r="J85" i="16"/>
  <c r="J87" i="16"/>
  <c r="J90" i="16"/>
  <c r="J92" i="16"/>
  <c r="J94" i="16"/>
  <c r="J96" i="16"/>
  <c r="J97" i="16"/>
  <c r="J7" i="16" l="1"/>
  <c r="J9" i="16"/>
  <c r="J11" i="16"/>
  <c r="J13" i="16"/>
  <c r="J15" i="16"/>
  <c r="J17" i="16"/>
  <c r="J20" i="16"/>
  <c r="J23" i="16"/>
  <c r="J26" i="16"/>
  <c r="J28" i="16"/>
  <c r="J30" i="16"/>
  <c r="J32" i="16"/>
  <c r="J34" i="16"/>
  <c r="J36" i="16"/>
  <c r="J38" i="16"/>
  <c r="J40" i="16"/>
  <c r="J42" i="16"/>
  <c r="J44" i="16"/>
  <c r="J46" i="16"/>
  <c r="J49" i="16"/>
  <c r="J51" i="16"/>
  <c r="J54" i="16"/>
  <c r="J56" i="16"/>
  <c r="J58" i="16"/>
  <c r="J60" i="16"/>
  <c r="J62" i="16"/>
  <c r="J64" i="16"/>
  <c r="J67" i="16"/>
  <c r="J69" i="16"/>
  <c r="J71" i="16"/>
  <c r="J73" i="16"/>
  <c r="J76" i="16"/>
  <c r="J80" i="16"/>
  <c r="J82" i="16"/>
  <c r="J83" i="16"/>
  <c r="J84" i="16"/>
  <c r="J86" i="16"/>
  <c r="J88" i="16"/>
  <c r="J89" i="16"/>
  <c r="J91" i="16"/>
  <c r="J93" i="16"/>
  <c r="J95" i="16"/>
  <c r="J3" i="16"/>
  <c r="J4" i="16"/>
  <c r="J6" i="16"/>
  <c r="J8" i="16"/>
  <c r="J10" i="16"/>
  <c r="J12" i="16"/>
  <c r="J14" i="16"/>
  <c r="J16" i="16"/>
  <c r="J18" i="16"/>
  <c r="J19" i="16"/>
  <c r="J21" i="16"/>
  <c r="J22" i="16"/>
  <c r="J24" i="16"/>
  <c r="J25" i="16"/>
  <c r="J27" i="16"/>
  <c r="J29" i="16"/>
  <c r="J31" i="16"/>
  <c r="J33" i="16"/>
  <c r="J35" i="16"/>
  <c r="J37" i="16"/>
  <c r="J39" i="16"/>
  <c r="J41" i="16"/>
  <c r="J43" i="16"/>
  <c r="J45" i="16"/>
  <c r="J47" i="16"/>
  <c r="J48" i="16"/>
  <c r="J50" i="16"/>
  <c r="J52" i="16"/>
  <c r="J53" i="16"/>
  <c r="J55" i="16"/>
  <c r="J57" i="16"/>
  <c r="J59" i="16"/>
  <c r="J61" i="16"/>
  <c r="J63" i="16"/>
  <c r="J65" i="16"/>
  <c r="J66" i="16"/>
  <c r="J68" i="16"/>
  <c r="J70" i="16"/>
  <c r="J72" i="16"/>
  <c r="J74" i="16"/>
  <c r="J75" i="16"/>
  <c r="J77" i="16"/>
  <c r="J78" i="16"/>
  <c r="J5" i="16"/>
  <c r="C102" i="16" l="1"/>
  <c r="C1" i="16"/>
  <c r="C1" i="13"/>
  <c r="C108" i="13"/>
  <c r="K100" i="13"/>
  <c r="K101" i="13"/>
  <c r="K102" i="13"/>
  <c r="K103" i="13"/>
  <c r="K104" i="13"/>
  <c r="K105" i="13"/>
  <c r="J4" i="14"/>
  <c r="J3" i="14"/>
  <c r="J121" i="14"/>
  <c r="J120" i="14"/>
  <c r="J122" i="14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J94" i="15" l="1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C99" i="15" l="1"/>
  <c r="C1" i="15"/>
  <c r="K99" i="13"/>
  <c r="N112" i="12"/>
  <c r="N111" i="12"/>
  <c r="K98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3" i="12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4" i="13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4" i="11"/>
  <c r="M3" i="11"/>
  <c r="C114" i="12" l="1"/>
  <c r="J20" i="14" l="1"/>
  <c r="J22" i="14"/>
  <c r="J24" i="14"/>
  <c r="J26" i="14"/>
  <c r="J28" i="14"/>
  <c r="J30" i="14"/>
  <c r="J32" i="14"/>
  <c r="J34" i="14"/>
  <c r="J36" i="14"/>
  <c r="J38" i="14"/>
  <c r="J40" i="14"/>
  <c r="J42" i="14"/>
  <c r="J44" i="14"/>
  <c r="J46" i="14"/>
  <c r="J48" i="14"/>
  <c r="J50" i="14"/>
  <c r="J52" i="14"/>
  <c r="J54" i="14"/>
  <c r="J56" i="14"/>
  <c r="J58" i="14"/>
  <c r="J60" i="14"/>
  <c r="J62" i="14"/>
  <c r="J64" i="14"/>
  <c r="J66" i="14"/>
  <c r="J68" i="14"/>
  <c r="J70" i="14"/>
  <c r="J72" i="14"/>
  <c r="J74" i="14"/>
  <c r="J76" i="14"/>
  <c r="J78" i="14"/>
  <c r="J80" i="14"/>
  <c r="J82" i="14"/>
  <c r="J84" i="14"/>
  <c r="J86" i="14"/>
  <c r="J88" i="14"/>
  <c r="J90" i="14"/>
  <c r="J92" i="14"/>
  <c r="J94" i="14"/>
  <c r="J96" i="14"/>
  <c r="J98" i="14"/>
  <c r="J100" i="14"/>
  <c r="J102" i="14"/>
  <c r="J104" i="14"/>
  <c r="J106" i="14"/>
  <c r="J108" i="14"/>
  <c r="J110" i="14"/>
  <c r="J112" i="14"/>
  <c r="J114" i="14"/>
  <c r="J116" i="14"/>
  <c r="J118" i="14"/>
  <c r="J6" i="14"/>
  <c r="J7" i="14"/>
  <c r="J9" i="14"/>
  <c r="J11" i="14"/>
  <c r="J13" i="14"/>
  <c r="J17" i="14"/>
  <c r="J19" i="14"/>
  <c r="J21" i="14"/>
  <c r="J23" i="14"/>
  <c r="J25" i="14"/>
  <c r="J27" i="14"/>
  <c r="J29" i="14"/>
  <c r="J31" i="14"/>
  <c r="J33" i="14"/>
  <c r="J35" i="14"/>
  <c r="J37" i="14"/>
  <c r="J39" i="14"/>
  <c r="J41" i="14"/>
  <c r="J43" i="14"/>
  <c r="J45" i="14"/>
  <c r="J47" i="14"/>
  <c r="J49" i="14"/>
  <c r="J51" i="14"/>
  <c r="J53" i="14"/>
  <c r="J55" i="14"/>
  <c r="J57" i="14"/>
  <c r="J59" i="14"/>
  <c r="J61" i="14"/>
  <c r="J63" i="14"/>
  <c r="J65" i="14"/>
  <c r="J67" i="14"/>
  <c r="J69" i="14"/>
  <c r="J71" i="14"/>
  <c r="J73" i="14"/>
  <c r="J75" i="14"/>
  <c r="J77" i="14"/>
  <c r="J79" i="14"/>
  <c r="J81" i="14"/>
  <c r="J83" i="14"/>
  <c r="J85" i="14"/>
  <c r="J87" i="14"/>
  <c r="J89" i="14"/>
  <c r="J91" i="14"/>
  <c r="J93" i="14"/>
  <c r="J95" i="14"/>
  <c r="J97" i="14"/>
  <c r="J99" i="14"/>
  <c r="J101" i="14"/>
  <c r="J103" i="14"/>
  <c r="J105" i="14"/>
  <c r="J107" i="14"/>
  <c r="J109" i="14"/>
  <c r="J111" i="14"/>
  <c r="J113" i="14"/>
  <c r="J115" i="14"/>
  <c r="J117" i="14"/>
  <c r="J119" i="14"/>
  <c r="J8" i="14"/>
  <c r="J10" i="14"/>
  <c r="J12" i="14"/>
  <c r="J14" i="14"/>
  <c r="J15" i="14"/>
  <c r="J16" i="14"/>
  <c r="J18" i="14"/>
  <c r="J5" i="14"/>
  <c r="C126" i="14" l="1"/>
  <c r="A119" i="14"/>
  <c r="A117" i="14"/>
  <c r="A115" i="14"/>
  <c r="A113" i="14"/>
  <c r="A111" i="14"/>
  <c r="A109" i="14"/>
  <c r="A107" i="14"/>
  <c r="A105" i="14"/>
  <c r="A103" i="14"/>
  <c r="A101" i="14"/>
  <c r="A99" i="14"/>
  <c r="A97" i="14"/>
  <c r="A95" i="14"/>
  <c r="A93" i="14"/>
  <c r="A91" i="14"/>
  <c r="A89" i="14"/>
  <c r="A87" i="14"/>
  <c r="A85" i="14"/>
  <c r="A83" i="14"/>
  <c r="A81" i="14"/>
  <c r="A79" i="14"/>
  <c r="A77" i="14"/>
  <c r="A75" i="14"/>
  <c r="A73" i="14"/>
  <c r="A71" i="14"/>
  <c r="A69" i="14"/>
  <c r="A67" i="14"/>
  <c r="A65" i="14"/>
  <c r="A63" i="14"/>
  <c r="A61" i="14"/>
  <c r="A59" i="14"/>
  <c r="A57" i="14"/>
  <c r="A55" i="14"/>
  <c r="A53" i="14"/>
  <c r="A51" i="14"/>
  <c r="A49" i="14"/>
  <c r="A47" i="14"/>
  <c r="A45" i="14"/>
  <c r="A43" i="14"/>
  <c r="A41" i="14"/>
  <c r="A39" i="14"/>
  <c r="A37" i="14"/>
  <c r="A35" i="14"/>
  <c r="A33" i="14"/>
  <c r="A31" i="14"/>
  <c r="A29" i="14"/>
  <c r="A27" i="14"/>
  <c r="A25" i="14"/>
  <c r="A23" i="14"/>
  <c r="A21" i="14"/>
  <c r="A19" i="14"/>
  <c r="A17" i="14"/>
  <c r="A13" i="14"/>
  <c r="A11" i="14"/>
  <c r="A9" i="14"/>
  <c r="A7" i="14"/>
  <c r="A6" i="14"/>
  <c r="A118" i="14"/>
  <c r="A116" i="14"/>
  <c r="A114" i="14"/>
  <c r="A112" i="14"/>
  <c r="A110" i="14"/>
  <c r="A108" i="14"/>
  <c r="A106" i="14"/>
  <c r="A104" i="14"/>
  <c r="A102" i="14"/>
  <c r="A100" i="14"/>
  <c r="A98" i="14"/>
  <c r="A96" i="14"/>
  <c r="A94" i="14"/>
  <c r="A92" i="14"/>
  <c r="A90" i="14"/>
  <c r="A88" i="14"/>
  <c r="A86" i="14"/>
  <c r="A84" i="14"/>
  <c r="A82" i="14"/>
  <c r="A80" i="14"/>
  <c r="A78" i="14"/>
  <c r="A76" i="14"/>
  <c r="A74" i="14"/>
  <c r="A72" i="14"/>
  <c r="A70" i="14"/>
  <c r="A68" i="14"/>
  <c r="A66" i="14"/>
  <c r="A64" i="14"/>
  <c r="A62" i="14"/>
  <c r="A60" i="14"/>
  <c r="A58" i="14"/>
  <c r="A56" i="14"/>
  <c r="A54" i="14"/>
  <c r="A52" i="14"/>
  <c r="A50" i="14"/>
  <c r="A48" i="14"/>
  <c r="A46" i="14"/>
  <c r="A44" i="14"/>
  <c r="A42" i="14"/>
  <c r="A40" i="14"/>
  <c r="A38" i="14"/>
  <c r="A36" i="14"/>
  <c r="A34" i="14"/>
  <c r="A32" i="14"/>
  <c r="A30" i="14"/>
  <c r="A28" i="14"/>
  <c r="A26" i="14"/>
  <c r="A24" i="14"/>
  <c r="A22" i="14"/>
  <c r="A20" i="14"/>
  <c r="A18" i="14"/>
  <c r="A16" i="14"/>
  <c r="A15" i="14"/>
  <c r="A14" i="14"/>
  <c r="A12" i="14"/>
  <c r="A10" i="14"/>
  <c r="A8" i="14"/>
  <c r="A5" i="14"/>
  <c r="Q5" i="10" l="1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4" i="10"/>
  <c r="Q3" i="10"/>
  <c r="C1" i="10" l="1"/>
  <c r="H127" i="10"/>
  <c r="C1" i="12"/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3" i="9"/>
  <c r="C1" i="11" l="1"/>
  <c r="H128" i="11"/>
  <c r="A97" i="13" l="1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111" i="11" l="1"/>
  <c r="A106" i="11"/>
  <c r="I111" i="8" l="1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3" i="8"/>
  <c r="I116" i="9"/>
  <c r="A101" i="12" l="1"/>
  <c r="A99" i="12"/>
  <c r="A97" i="12"/>
  <c r="A95" i="12"/>
  <c r="A93" i="12"/>
  <c r="A91" i="12"/>
  <c r="A89" i="12"/>
  <c r="A87" i="12"/>
  <c r="A86" i="12"/>
  <c r="A84" i="12"/>
  <c r="A82" i="12"/>
  <c r="A80" i="12"/>
  <c r="A78" i="12"/>
  <c r="A76" i="12"/>
  <c r="A74" i="12"/>
  <c r="A72" i="12"/>
  <c r="A69" i="12"/>
  <c r="A66" i="12"/>
  <c r="A65" i="12"/>
  <c r="A64" i="12"/>
  <c r="A62" i="12"/>
  <c r="A60" i="12"/>
  <c r="A56" i="12"/>
  <c r="A54" i="12"/>
  <c r="A52" i="12"/>
  <c r="A50" i="12"/>
  <c r="A48" i="12"/>
  <c r="A46" i="12"/>
  <c r="A45" i="12"/>
  <c r="A43" i="12"/>
  <c r="A41" i="12"/>
  <c r="A40" i="12"/>
  <c r="A38" i="12"/>
  <c r="A36" i="12"/>
  <c r="A34" i="12"/>
  <c r="A33" i="12"/>
  <c r="A31" i="12"/>
  <c r="A29" i="12"/>
  <c r="A27" i="12"/>
  <c r="A25" i="12"/>
  <c r="A23" i="12"/>
  <c r="A21" i="12"/>
  <c r="A18" i="12"/>
  <c r="A16" i="12"/>
  <c r="A14" i="12"/>
  <c r="A12" i="12"/>
  <c r="A10" i="12"/>
  <c r="A8" i="12"/>
  <c r="A6" i="12"/>
  <c r="A5" i="12"/>
  <c r="A3" i="12"/>
  <c r="A102" i="12"/>
  <c r="A100" i="12"/>
  <c r="A98" i="12"/>
  <c r="A96" i="12"/>
  <c r="A94" i="12"/>
  <c r="A92" i="12"/>
  <c r="A90" i="12"/>
  <c r="A88" i="12"/>
  <c r="A85" i="12"/>
  <c r="A83" i="12"/>
  <c r="A81" i="12"/>
  <c r="A79" i="12"/>
  <c r="A77" i="12"/>
  <c r="A75" i="12"/>
  <c r="A73" i="12"/>
  <c r="A71" i="12"/>
  <c r="A70" i="12"/>
  <c r="A68" i="12"/>
  <c r="A67" i="12"/>
  <c r="A63" i="12"/>
  <c r="A61" i="12"/>
  <c r="A59" i="12"/>
  <c r="A58" i="12"/>
  <c r="A57" i="12"/>
  <c r="A55" i="12"/>
  <c r="A53" i="12"/>
  <c r="A51" i="12"/>
  <c r="A49" i="12"/>
  <c r="A47" i="12"/>
  <c r="A44" i="12"/>
  <c r="A42" i="12"/>
  <c r="A39" i="12"/>
  <c r="A37" i="12"/>
  <c r="A35" i="12"/>
  <c r="A32" i="12"/>
  <c r="A30" i="12"/>
  <c r="A28" i="12"/>
  <c r="A26" i="12"/>
  <c r="A24" i="12"/>
  <c r="A22" i="12"/>
  <c r="A20" i="12"/>
  <c r="A19" i="12"/>
  <c r="A17" i="12"/>
  <c r="A15" i="12"/>
  <c r="A13" i="12"/>
  <c r="A11" i="12"/>
  <c r="A9" i="12"/>
  <c r="A7" i="12"/>
  <c r="A4" i="12"/>
  <c r="A105" i="11" l="1"/>
  <c r="A103" i="11"/>
  <c r="A101" i="11"/>
  <c r="A99" i="11"/>
  <c r="A97" i="11"/>
  <c r="A95" i="11"/>
  <c r="A93" i="11"/>
  <c r="A91" i="11"/>
  <c r="A89" i="11"/>
  <c r="A87" i="11"/>
  <c r="A83" i="11"/>
  <c r="A81" i="11"/>
  <c r="A79" i="11"/>
  <c r="A77" i="11"/>
  <c r="A74" i="11"/>
  <c r="A72" i="11"/>
  <c r="A70" i="11"/>
  <c r="A68" i="11"/>
  <c r="A66" i="11"/>
  <c r="A64" i="11"/>
  <c r="A62" i="11"/>
  <c r="A60" i="11"/>
  <c r="A58" i="11"/>
  <c r="A56" i="11"/>
  <c r="A54" i="11"/>
  <c r="A52" i="11"/>
  <c r="A50" i="11"/>
  <c r="A48" i="11"/>
  <c r="A46" i="11"/>
  <c r="A44" i="11"/>
  <c r="A42" i="11"/>
  <c r="A40" i="11"/>
  <c r="A38" i="11"/>
  <c r="A36" i="11"/>
  <c r="A34" i="11"/>
  <c r="A33" i="11"/>
  <c r="A31" i="11"/>
  <c r="A29" i="11"/>
  <c r="A27" i="11"/>
  <c r="A25" i="11"/>
  <c r="A23" i="11"/>
  <c r="A21" i="11"/>
  <c r="A19" i="11"/>
  <c r="A17" i="11"/>
  <c r="A15" i="11"/>
  <c r="A13" i="11"/>
  <c r="A11" i="11"/>
  <c r="A9" i="11"/>
  <c r="A7" i="11"/>
  <c r="A6" i="11"/>
  <c r="A5" i="11"/>
  <c r="A104" i="11"/>
  <c r="A102" i="11"/>
  <c r="A100" i="11"/>
  <c r="A98" i="11"/>
  <c r="A96" i="11"/>
  <c r="A94" i="11"/>
  <c r="A92" i="11"/>
  <c r="A90" i="11"/>
  <c r="A88" i="11"/>
  <c r="A86" i="11"/>
  <c r="A85" i="11"/>
  <c r="A84" i="11"/>
  <c r="A82" i="11"/>
  <c r="A80" i="11"/>
  <c r="A78" i="11"/>
  <c r="A76" i="11"/>
  <c r="A75" i="11"/>
  <c r="A73" i="11"/>
  <c r="A71" i="11"/>
  <c r="A69" i="11"/>
  <c r="A67" i="11"/>
  <c r="A65" i="11"/>
  <c r="A63" i="11"/>
  <c r="A61" i="11"/>
  <c r="A59" i="11"/>
  <c r="A57" i="11"/>
  <c r="A55" i="11"/>
  <c r="A53" i="11"/>
  <c r="A51" i="11"/>
  <c r="A49" i="11"/>
  <c r="A47" i="11"/>
  <c r="A45" i="11"/>
  <c r="A43" i="11"/>
  <c r="A41" i="11"/>
  <c r="A39" i="11"/>
  <c r="A37" i="11"/>
  <c r="A35" i="11"/>
  <c r="A32" i="11"/>
  <c r="A30" i="11"/>
  <c r="A28" i="11"/>
  <c r="A26" i="11"/>
  <c r="A24" i="11"/>
  <c r="A22" i="11"/>
  <c r="A20" i="11"/>
  <c r="A18" i="11"/>
  <c r="A16" i="11"/>
  <c r="A14" i="11"/>
  <c r="A12" i="11"/>
  <c r="A10" i="11"/>
  <c r="A8" i="11"/>
  <c r="A4" i="11"/>
  <c r="O4" i="6" l="1"/>
  <c r="O3" i="6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3" i="7"/>
  <c r="A103" i="10"/>
  <c r="A101" i="10"/>
  <c r="A99" i="10"/>
  <c r="A97" i="10"/>
  <c r="A95" i="10"/>
  <c r="A93" i="10"/>
  <c r="A91" i="10"/>
  <c r="A89" i="10"/>
  <c r="A87" i="10"/>
  <c r="A85" i="10"/>
  <c r="A83" i="10"/>
  <c r="A80" i="10"/>
  <c r="A78" i="10"/>
  <c r="A76" i="10"/>
  <c r="A74" i="10"/>
  <c r="A72" i="10"/>
  <c r="A70" i="10"/>
  <c r="A69" i="10"/>
  <c r="A67" i="10"/>
  <c r="A65" i="10"/>
  <c r="A63" i="10"/>
  <c r="A61" i="10"/>
  <c r="A60" i="10"/>
  <c r="A58" i="10"/>
  <c r="A55" i="10"/>
  <c r="A53" i="10"/>
  <c r="A51" i="10"/>
  <c r="A49" i="10"/>
  <c r="A47" i="10"/>
  <c r="A45" i="10"/>
  <c r="A43" i="10"/>
  <c r="A41" i="10"/>
  <c r="A38" i="10"/>
  <c r="A36" i="10"/>
  <c r="A34" i="10"/>
  <c r="A32" i="10"/>
  <c r="A30" i="10"/>
  <c r="A28" i="10"/>
  <c r="A26" i="10"/>
  <c r="A24" i="10"/>
  <c r="A22" i="10"/>
  <c r="A20" i="10"/>
  <c r="A18" i="10"/>
  <c r="A16" i="10"/>
  <c r="A14" i="10"/>
  <c r="A12" i="10"/>
  <c r="A10" i="10"/>
  <c r="A8" i="10"/>
  <c r="A6" i="10"/>
  <c r="A4" i="10"/>
  <c r="A104" i="10"/>
  <c r="A102" i="10"/>
  <c r="A100" i="10"/>
  <c r="A98" i="10"/>
  <c r="A96" i="10"/>
  <c r="A94" i="10"/>
  <c r="A92" i="10"/>
  <c r="A90" i="10"/>
  <c r="A88" i="10"/>
  <c r="A86" i="10"/>
  <c r="A84" i="10"/>
  <c r="A82" i="10"/>
  <c r="A81" i="10"/>
  <c r="A79" i="10"/>
  <c r="A77" i="10"/>
  <c r="A75" i="10"/>
  <c r="A73" i="10"/>
  <c r="A71" i="10"/>
  <c r="A68" i="10"/>
  <c r="A66" i="10"/>
  <c r="A64" i="10"/>
  <c r="A62" i="10"/>
  <c r="A59" i="10"/>
  <c r="A57" i="10"/>
  <c r="A56" i="10"/>
  <c r="A54" i="10"/>
  <c r="A52" i="10"/>
  <c r="A50" i="10"/>
  <c r="A48" i="10"/>
  <c r="A46" i="10"/>
  <c r="A44" i="10"/>
  <c r="A42" i="10"/>
  <c r="A40" i="10"/>
  <c r="A39" i="10"/>
  <c r="A37" i="10"/>
  <c r="A35" i="10"/>
  <c r="A33" i="10"/>
  <c r="A31" i="10"/>
  <c r="A29" i="10"/>
  <c r="A27" i="10"/>
  <c r="A25" i="10"/>
  <c r="A23" i="10"/>
  <c r="A21" i="10"/>
  <c r="A19" i="10"/>
  <c r="A17" i="10"/>
  <c r="A15" i="10"/>
  <c r="A13" i="10"/>
  <c r="A11" i="10"/>
  <c r="A9" i="10"/>
  <c r="A7" i="10"/>
  <c r="A5" i="10"/>
  <c r="A3" i="10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C1" i="7"/>
  <c r="C1" i="6"/>
  <c r="A102" i="9"/>
  <c r="A100" i="9"/>
  <c r="A98" i="9"/>
  <c r="A96" i="9"/>
  <c r="A94" i="9"/>
  <c r="A92" i="9"/>
  <c r="A90" i="9"/>
  <c r="A88" i="9"/>
  <c r="A86" i="9"/>
  <c r="A84" i="9"/>
  <c r="A82" i="9"/>
  <c r="A80" i="9"/>
  <c r="A78" i="9"/>
  <c r="A76" i="9"/>
  <c r="A75" i="9"/>
  <c r="A74" i="9"/>
  <c r="A72" i="9"/>
  <c r="A70" i="9"/>
  <c r="A68" i="9"/>
  <c r="A66" i="9"/>
  <c r="A64" i="9"/>
  <c r="A62" i="9"/>
  <c r="A60" i="9"/>
  <c r="A57" i="9"/>
  <c r="A55" i="9"/>
  <c r="A53" i="9"/>
  <c r="A51" i="9"/>
  <c r="A49" i="9"/>
  <c r="A47" i="9"/>
  <c r="A45" i="9"/>
  <c r="A43" i="9"/>
  <c r="A41" i="9"/>
  <c r="A39" i="9"/>
  <c r="A37" i="9"/>
  <c r="A35" i="9"/>
  <c r="A33" i="9"/>
  <c r="A31" i="9"/>
  <c r="A29" i="9"/>
  <c r="A27" i="9"/>
  <c r="A25" i="9"/>
  <c r="A23" i="9"/>
  <c r="A21" i="9"/>
  <c r="A19" i="9"/>
  <c r="A17" i="9"/>
  <c r="A15" i="9"/>
  <c r="A13" i="9"/>
  <c r="A11" i="9"/>
  <c r="A9" i="9"/>
  <c r="A5" i="9"/>
  <c r="A103" i="9"/>
  <c r="A101" i="9"/>
  <c r="A99" i="9"/>
  <c r="A97" i="9"/>
  <c r="A95" i="9"/>
  <c r="A93" i="9"/>
  <c r="A91" i="9"/>
  <c r="A89" i="9"/>
  <c r="A87" i="9"/>
  <c r="A85" i="9"/>
  <c r="A83" i="9"/>
  <c r="A81" i="9"/>
  <c r="A79" i="9"/>
  <c r="A77" i="9"/>
  <c r="A73" i="9"/>
  <c r="A71" i="9"/>
  <c r="A69" i="9"/>
  <c r="A67" i="9"/>
  <c r="A65" i="9"/>
  <c r="A63" i="9"/>
  <c r="A61" i="9"/>
  <c r="A59" i="9"/>
  <c r="A58" i="9"/>
  <c r="A56" i="9"/>
  <c r="A54" i="9"/>
  <c r="A52" i="9"/>
  <c r="A50" i="9"/>
  <c r="A48" i="9"/>
  <c r="A46" i="9"/>
  <c r="A44" i="9"/>
  <c r="A42" i="9"/>
  <c r="A40" i="9"/>
  <c r="A38" i="9"/>
  <c r="A36" i="9"/>
  <c r="A34" i="9"/>
  <c r="A32" i="9"/>
  <c r="A30" i="9"/>
  <c r="A28" i="9"/>
  <c r="A26" i="9"/>
  <c r="A24" i="9"/>
  <c r="A22" i="9"/>
  <c r="A20" i="9"/>
  <c r="A18" i="9"/>
  <c r="A16" i="9"/>
  <c r="A14" i="9"/>
  <c r="A12" i="9"/>
  <c r="A10" i="9"/>
  <c r="A8" i="9"/>
  <c r="A7" i="9"/>
  <c r="A6" i="9"/>
  <c r="A4" i="9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3" i="5"/>
  <c r="C1" i="8"/>
  <c r="O117" i="6"/>
  <c r="A99" i="7"/>
  <c r="A100" i="8"/>
  <c r="A98" i="8"/>
  <c r="A97" i="8"/>
  <c r="A95" i="8"/>
  <c r="A93" i="8"/>
  <c r="A92" i="8"/>
  <c r="A90" i="8"/>
  <c r="A88" i="8"/>
  <c r="A86" i="8"/>
  <c r="A83" i="8"/>
  <c r="A81" i="8"/>
  <c r="A79" i="8"/>
  <c r="A77" i="8"/>
  <c r="A75" i="8"/>
  <c r="A73" i="8"/>
  <c r="A71" i="8"/>
  <c r="A69" i="8"/>
  <c r="A67" i="8"/>
  <c r="A65" i="8"/>
  <c r="A63" i="8"/>
  <c r="A61" i="8"/>
  <c r="A59" i="8"/>
  <c r="A57" i="8"/>
  <c r="A55" i="8"/>
  <c r="A53" i="8"/>
  <c r="A50" i="8"/>
  <c r="A49" i="8"/>
  <c r="A47" i="8"/>
  <c r="A45" i="8"/>
  <c r="A43" i="8"/>
  <c r="A41" i="8"/>
  <c r="A39" i="8"/>
  <c r="A37" i="8"/>
  <c r="A35" i="8"/>
  <c r="A33" i="8"/>
  <c r="A31" i="8"/>
  <c r="A29" i="8"/>
  <c r="A27" i="8"/>
  <c r="A25" i="8"/>
  <c r="A23" i="8"/>
  <c r="A21" i="8"/>
  <c r="A19" i="8"/>
  <c r="A17" i="8"/>
  <c r="A15" i="8"/>
  <c r="A13" i="8"/>
  <c r="A11" i="8"/>
  <c r="A9" i="8"/>
  <c r="A7" i="8"/>
  <c r="A4" i="8"/>
  <c r="A99" i="8"/>
  <c r="A96" i="8"/>
  <c r="A94" i="8"/>
  <c r="A91" i="8"/>
  <c r="A89" i="8"/>
  <c r="A87" i="8"/>
  <c r="A85" i="8"/>
  <c r="A84" i="8"/>
  <c r="A82" i="8"/>
  <c r="A80" i="8"/>
  <c r="A78" i="8"/>
  <c r="A76" i="8"/>
  <c r="A74" i="8"/>
  <c r="A72" i="8"/>
  <c r="A70" i="8"/>
  <c r="A68" i="8"/>
  <c r="A66" i="8"/>
  <c r="A64" i="8"/>
  <c r="A62" i="8"/>
  <c r="A60" i="8"/>
  <c r="A58" i="8"/>
  <c r="A56" i="8"/>
  <c r="A54" i="8"/>
  <c r="A52" i="8"/>
  <c r="A51" i="8"/>
  <c r="A48" i="8"/>
  <c r="A46" i="8"/>
  <c r="A44" i="8"/>
  <c r="A42" i="8"/>
  <c r="A40" i="8"/>
  <c r="A38" i="8"/>
  <c r="A36" i="8"/>
  <c r="A34" i="8"/>
  <c r="A32" i="8"/>
  <c r="A30" i="8"/>
  <c r="A28" i="8"/>
  <c r="A26" i="8"/>
  <c r="A24" i="8"/>
  <c r="A22" i="8"/>
  <c r="A20" i="8"/>
  <c r="A18" i="8"/>
  <c r="A16" i="8"/>
  <c r="A14" i="8"/>
  <c r="A12" i="8"/>
  <c r="A10" i="8"/>
  <c r="A8" i="8"/>
  <c r="A6" i="8"/>
  <c r="A5" i="8"/>
  <c r="A3" i="8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3" i="1"/>
  <c r="C1" i="1" s="1"/>
  <c r="A98" i="7"/>
  <c r="A96" i="7"/>
  <c r="A94" i="7"/>
  <c r="A92" i="7"/>
  <c r="A90" i="7"/>
  <c r="A88" i="7"/>
  <c r="A86" i="7"/>
  <c r="A84" i="7"/>
  <c r="A81" i="7"/>
  <c r="A79" i="7"/>
  <c r="A77" i="7"/>
  <c r="A75" i="7"/>
  <c r="A73" i="7"/>
  <c r="A70" i="7"/>
  <c r="A68" i="7"/>
  <c r="A66" i="7"/>
  <c r="A64" i="7"/>
  <c r="A63" i="7"/>
  <c r="A61" i="7"/>
  <c r="A59" i="7"/>
  <c r="A57" i="7"/>
  <c r="A55" i="7"/>
  <c r="A53" i="7"/>
  <c r="A51" i="7"/>
  <c r="A49" i="7"/>
  <c r="A47" i="7"/>
  <c r="A46" i="7"/>
  <c r="A44" i="7"/>
  <c r="A42" i="7"/>
  <c r="A41" i="7"/>
  <c r="A39" i="7"/>
  <c r="A37" i="7"/>
  <c r="A34" i="7"/>
  <c r="A32" i="7"/>
  <c r="A30" i="7"/>
  <c r="A28" i="7"/>
  <c r="A26" i="7"/>
  <c r="A24" i="7"/>
  <c r="A22" i="7"/>
  <c r="A20" i="7"/>
  <c r="A18" i="7"/>
  <c r="A16" i="7"/>
  <c r="A14" i="7"/>
  <c r="A12" i="7"/>
  <c r="A10" i="7"/>
  <c r="A8" i="7"/>
  <c r="A6" i="7"/>
  <c r="A97" i="7"/>
  <c r="A95" i="7"/>
  <c r="A93" i="7"/>
  <c r="A91" i="7"/>
  <c r="A89" i="7"/>
  <c r="A87" i="7"/>
  <c r="A85" i="7"/>
  <c r="A83" i="7"/>
  <c r="A82" i="7"/>
  <c r="A80" i="7"/>
  <c r="A78" i="7"/>
  <c r="A76" i="7"/>
  <c r="A74" i="7"/>
  <c r="A72" i="7"/>
  <c r="A71" i="7"/>
  <c r="A69" i="7"/>
  <c r="A67" i="7"/>
  <c r="A65" i="7"/>
  <c r="A62" i="7"/>
  <c r="A60" i="7"/>
  <c r="A58" i="7"/>
  <c r="A56" i="7"/>
  <c r="A54" i="7"/>
  <c r="A52" i="7"/>
  <c r="A50" i="7"/>
  <c r="A48" i="7"/>
  <c r="A45" i="7"/>
  <c r="A43" i="7"/>
  <c r="A40" i="7"/>
  <c r="A38" i="7"/>
  <c r="A36" i="7"/>
  <c r="A35" i="7"/>
  <c r="A33" i="7"/>
  <c r="A31" i="7"/>
  <c r="A29" i="7"/>
  <c r="A27" i="7"/>
  <c r="A25" i="7"/>
  <c r="A23" i="7"/>
  <c r="A21" i="7"/>
  <c r="A19" i="7"/>
  <c r="A17" i="7"/>
  <c r="A15" i="7"/>
  <c r="A13" i="7"/>
  <c r="A11" i="7"/>
  <c r="A9" i="7"/>
  <c r="A7" i="7"/>
  <c r="A5" i="7"/>
  <c r="J32" i="2"/>
  <c r="J2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3" i="2"/>
  <c r="C1" i="2" s="1"/>
  <c r="I27" i="3"/>
  <c r="I10" i="3"/>
  <c r="I75" i="3"/>
  <c r="I66" i="3"/>
  <c r="I35" i="3"/>
  <c r="M103" i="1"/>
  <c r="C1" i="5"/>
  <c r="I16" i="3"/>
  <c r="I17" i="3"/>
  <c r="I20" i="3"/>
  <c r="I54" i="3"/>
  <c r="I28" i="3"/>
  <c r="I88" i="3"/>
  <c r="I22" i="3"/>
  <c r="I72" i="3"/>
  <c r="I39" i="3"/>
  <c r="I70" i="3"/>
  <c r="I38" i="3"/>
  <c r="I69" i="3"/>
  <c r="I59" i="3"/>
  <c r="I46" i="3"/>
  <c r="I57" i="3"/>
  <c r="I55" i="3"/>
  <c r="I80" i="3"/>
  <c r="I66" i="4"/>
  <c r="I11" i="4"/>
  <c r="I32" i="4"/>
  <c r="I21" i="4"/>
  <c r="I44" i="4"/>
  <c r="I67" i="4"/>
  <c r="I65" i="4"/>
  <c r="I64" i="4"/>
  <c r="I63" i="4"/>
  <c r="I62" i="4"/>
  <c r="I61" i="4"/>
  <c r="I60" i="4"/>
  <c r="I59" i="4"/>
  <c r="I58" i="4"/>
  <c r="C1" i="4" s="1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3" i="4"/>
  <c r="I42" i="4"/>
  <c r="I41" i="4"/>
  <c r="I40" i="4"/>
  <c r="I39" i="4"/>
  <c r="I38" i="4"/>
  <c r="I37" i="4"/>
  <c r="I36" i="4"/>
  <c r="I35" i="4"/>
  <c r="I34" i="4"/>
  <c r="I33" i="4"/>
  <c r="I31" i="4"/>
  <c r="I30" i="4"/>
  <c r="I29" i="4"/>
  <c r="I28" i="4"/>
  <c r="I27" i="4"/>
  <c r="I26" i="4"/>
  <c r="I25" i="4"/>
  <c r="I24" i="4"/>
  <c r="I23" i="4"/>
  <c r="I22" i="4"/>
  <c r="I20" i="4"/>
  <c r="I19" i="4"/>
  <c r="I18" i="4"/>
  <c r="I17" i="4"/>
  <c r="I16" i="4"/>
  <c r="I15" i="4"/>
  <c r="I14" i="4"/>
  <c r="I13" i="4"/>
  <c r="I12" i="4"/>
  <c r="I10" i="4"/>
  <c r="I9" i="4"/>
  <c r="I8" i="4"/>
  <c r="I7" i="4"/>
  <c r="I6" i="4"/>
  <c r="I5" i="4"/>
  <c r="I4" i="4"/>
  <c r="I3" i="4"/>
  <c r="I99" i="3"/>
  <c r="I98" i="3"/>
  <c r="I97" i="3"/>
  <c r="I96" i="3"/>
  <c r="I95" i="3"/>
  <c r="I94" i="3"/>
  <c r="I93" i="3"/>
  <c r="I92" i="3"/>
  <c r="I91" i="3"/>
  <c r="I90" i="3"/>
  <c r="I89" i="3"/>
  <c r="I87" i="3"/>
  <c r="I86" i="3"/>
  <c r="I85" i="3"/>
  <c r="I84" i="3"/>
  <c r="I83" i="3"/>
  <c r="I82" i="3"/>
  <c r="I81" i="3"/>
  <c r="I79" i="3"/>
  <c r="I78" i="3"/>
  <c r="I77" i="3"/>
  <c r="I76" i="3"/>
  <c r="I74" i="3"/>
  <c r="I73" i="3"/>
  <c r="I71" i="3"/>
  <c r="I68" i="3"/>
  <c r="I67" i="3"/>
  <c r="I65" i="3"/>
  <c r="I64" i="3"/>
  <c r="I63" i="3"/>
  <c r="I62" i="3"/>
  <c r="I61" i="3"/>
  <c r="I60" i="3"/>
  <c r="I58" i="3"/>
  <c r="I56" i="3"/>
  <c r="I53" i="3"/>
  <c r="I52" i="3"/>
  <c r="I51" i="3"/>
  <c r="I50" i="3"/>
  <c r="I49" i="3"/>
  <c r="I48" i="3"/>
  <c r="I47" i="3"/>
  <c r="I45" i="3"/>
  <c r="I44" i="3"/>
  <c r="I43" i="3"/>
  <c r="I42" i="3"/>
  <c r="I41" i="3"/>
  <c r="I40" i="3"/>
  <c r="I37" i="3"/>
  <c r="I36" i="3"/>
  <c r="I34" i="3"/>
  <c r="I33" i="3"/>
  <c r="I32" i="3"/>
  <c r="I31" i="3"/>
  <c r="I30" i="3"/>
  <c r="I29" i="3"/>
  <c r="I26" i="3"/>
  <c r="I25" i="3"/>
  <c r="I24" i="3"/>
  <c r="I23" i="3"/>
  <c r="I21" i="3"/>
  <c r="I19" i="3"/>
  <c r="I18" i="3"/>
  <c r="I15" i="3"/>
  <c r="I14" i="3"/>
  <c r="I13" i="3"/>
  <c r="I12" i="3"/>
  <c r="I11" i="3"/>
  <c r="I101" i="3" s="1"/>
  <c r="I9" i="3"/>
  <c r="I8" i="3"/>
  <c r="I7" i="3"/>
  <c r="I6" i="3"/>
  <c r="I5" i="3"/>
  <c r="I4" i="3"/>
  <c r="I3" i="3"/>
  <c r="C1" i="3" s="1"/>
  <c r="R108" i="7"/>
  <c r="C1" i="9" l="1"/>
  <c r="J94" i="2"/>
  <c r="C1" i="14"/>
</calcChain>
</file>

<file path=xl/sharedStrings.xml><?xml version="1.0" encoding="utf-8"?>
<sst xmlns="http://schemas.openxmlformats.org/spreadsheetml/2006/main" count="2542" uniqueCount="2431">
  <si>
    <t>494510105</t>
  </si>
  <si>
    <t>林應顯</t>
  </si>
  <si>
    <t>494510107</t>
  </si>
  <si>
    <t>詹弘宇</t>
  </si>
  <si>
    <t>495510103</t>
  </si>
  <si>
    <t>吳建立</t>
  </si>
  <si>
    <t>497510093</t>
  </si>
  <si>
    <t>蔡佩吟</t>
  </si>
  <si>
    <t>497510095</t>
  </si>
  <si>
    <t>張乃文</t>
  </si>
  <si>
    <t>497510097</t>
  </si>
  <si>
    <t>崔健民</t>
  </si>
  <si>
    <t>497510099</t>
  </si>
  <si>
    <t>張芳瑜</t>
  </si>
  <si>
    <t>497510002</t>
  </si>
  <si>
    <t>葉家瑋</t>
  </si>
  <si>
    <t>497510004</t>
  </si>
  <si>
    <t>黃傑君</t>
  </si>
  <si>
    <t>497510006</t>
  </si>
  <si>
    <t>黃政彥</t>
  </si>
  <si>
    <t>497510008</t>
  </si>
  <si>
    <t>許喻琅</t>
  </si>
  <si>
    <t>497510010</t>
  </si>
  <si>
    <t>郭彥含</t>
  </si>
  <si>
    <t>497510012</t>
  </si>
  <si>
    <t>許佩琦</t>
  </si>
  <si>
    <t>497510016</t>
  </si>
  <si>
    <t>廖秀伶</t>
  </si>
  <si>
    <t>497510003</t>
  </si>
  <si>
    <t>劉奎德</t>
  </si>
  <si>
    <t>497510005</t>
  </si>
  <si>
    <t>仰致豪</t>
  </si>
  <si>
    <t>497510007</t>
  </si>
  <si>
    <t>余常均</t>
  </si>
  <si>
    <t>497510009</t>
  </si>
  <si>
    <t>李卓儀</t>
  </si>
  <si>
    <t>497510011</t>
  </si>
  <si>
    <t>葉穎儒</t>
  </si>
  <si>
    <t>495510102</t>
  </si>
  <si>
    <t>許哲銘</t>
  </si>
  <si>
    <t>495510104</t>
  </si>
  <si>
    <t>施喻翎</t>
  </si>
  <si>
    <t>495510108</t>
  </si>
  <si>
    <t>邵琪雯</t>
  </si>
  <si>
    <t>鍾沂庭</t>
  </si>
  <si>
    <t>496510016</t>
  </si>
  <si>
    <t>劉巳嘉</t>
  </si>
  <si>
    <t>497510018</t>
  </si>
  <si>
    <t>呂佳穎</t>
  </si>
  <si>
    <t>497510020</t>
  </si>
  <si>
    <t>方偉倫</t>
  </si>
  <si>
    <t>497510022</t>
  </si>
  <si>
    <t>陳雅倫</t>
  </si>
  <si>
    <t>497510024</t>
  </si>
  <si>
    <t>劉季勳</t>
  </si>
  <si>
    <t>497510026</t>
  </si>
  <si>
    <t>陳娸楣</t>
  </si>
  <si>
    <t>497510028</t>
  </si>
  <si>
    <t>黃士豪</t>
  </si>
  <si>
    <t>497510030</t>
  </si>
  <si>
    <t>張家豪</t>
  </si>
  <si>
    <t>497510032</t>
  </si>
  <si>
    <t>胡凱惇</t>
  </si>
  <si>
    <t>497510034</t>
  </si>
  <si>
    <t>陳韶筑</t>
  </si>
  <si>
    <t>497510036</t>
  </si>
  <si>
    <t>連珮廷</t>
  </si>
  <si>
    <t>497510038</t>
  </si>
  <si>
    <t>陳昀詳</t>
  </si>
  <si>
    <t>495510001</t>
  </si>
  <si>
    <t>趙德強</t>
  </si>
  <si>
    <t>495510005</t>
  </si>
  <si>
    <t>邱俊皓</t>
  </si>
  <si>
    <t>495510007</t>
  </si>
  <si>
    <t>張嘉航</t>
  </si>
  <si>
    <t>495510009</t>
  </si>
  <si>
    <t>陳信佑</t>
  </si>
  <si>
    <t>495510011</t>
  </si>
  <si>
    <t>闕廷書</t>
  </si>
  <si>
    <t>495510013</t>
  </si>
  <si>
    <t>任屏蓁</t>
  </si>
  <si>
    <t>495510015</t>
  </si>
  <si>
    <t>王詩蘋</t>
  </si>
  <si>
    <t>495510017</t>
  </si>
  <si>
    <t>賴庭萱</t>
  </si>
  <si>
    <t>495510019</t>
  </si>
  <si>
    <t>何若真</t>
  </si>
  <si>
    <t>495510021</t>
  </si>
  <si>
    <t>趙茜茹</t>
  </si>
  <si>
    <t>495510023</t>
  </si>
  <si>
    <t>林桐州</t>
  </si>
  <si>
    <t>495510025</t>
  </si>
  <si>
    <t>林憶珊</t>
  </si>
  <si>
    <t>495510027</t>
  </si>
  <si>
    <t>陳曉瑩</t>
  </si>
  <si>
    <t>495510029</t>
  </si>
  <si>
    <t>邱品傑</t>
  </si>
  <si>
    <t>張雅婷</t>
  </si>
  <si>
    <t>495510041</t>
  </si>
  <si>
    <t>葉威良</t>
  </si>
  <si>
    <t>495510043</t>
  </si>
  <si>
    <t>呂承翰</t>
  </si>
  <si>
    <t>495510045</t>
  </si>
  <si>
    <t>鄭禮賢</t>
  </si>
  <si>
    <t>495510049</t>
  </si>
  <si>
    <t>丘琬寧</t>
  </si>
  <si>
    <t>495510051</t>
  </si>
  <si>
    <t>林姿宜</t>
  </si>
  <si>
    <t>495510053</t>
  </si>
  <si>
    <t>呂智業</t>
  </si>
  <si>
    <t>494510076</t>
  </si>
  <si>
    <t>詹弘毅</t>
  </si>
  <si>
    <t>494510078</t>
  </si>
  <si>
    <t>李柏憲</t>
  </si>
  <si>
    <t>494510080</t>
  </si>
  <si>
    <t>王世豪</t>
  </si>
  <si>
    <t>494510082</t>
  </si>
  <si>
    <t>494510084</t>
  </si>
  <si>
    <t>黃鈺期</t>
  </si>
  <si>
    <t>494510086</t>
  </si>
  <si>
    <t>周裕祐</t>
  </si>
  <si>
    <t>495510101</t>
  </si>
  <si>
    <t>謝侑玲</t>
  </si>
  <si>
    <t>496510067</t>
  </si>
  <si>
    <t>陳冠瑋</t>
  </si>
  <si>
    <t>496510069</t>
  </si>
  <si>
    <t>洪程昱</t>
  </si>
  <si>
    <t>許竣然</t>
  </si>
  <si>
    <t>495510070</t>
  </si>
  <si>
    <t>曹育嘉</t>
  </si>
  <si>
    <t>陳玟彣</t>
    <phoneticPr fontId="3" type="noConversion"/>
  </si>
  <si>
    <t>李棋葳</t>
    <phoneticPr fontId="3" type="noConversion"/>
  </si>
  <si>
    <t>朱潔兒</t>
    <phoneticPr fontId="3" type="noConversion"/>
  </si>
  <si>
    <t>施延勲</t>
    <phoneticPr fontId="3" type="noConversion"/>
  </si>
  <si>
    <t>賴彥文</t>
    <phoneticPr fontId="3" type="noConversion"/>
  </si>
  <si>
    <t>洪楚彥</t>
    <phoneticPr fontId="3" type="noConversion"/>
  </si>
  <si>
    <t>張詠婷</t>
    <phoneticPr fontId="3" type="noConversion"/>
  </si>
  <si>
    <t>王必遠</t>
    <phoneticPr fontId="3" type="noConversion"/>
  </si>
  <si>
    <t>王茹玉</t>
    <phoneticPr fontId="3" type="noConversion"/>
  </si>
  <si>
    <t>陳渝璇</t>
    <phoneticPr fontId="3" type="noConversion"/>
  </si>
  <si>
    <t>詹旻曄</t>
    <phoneticPr fontId="3" type="noConversion"/>
  </si>
  <si>
    <t>陳皓瑜</t>
    <phoneticPr fontId="3" type="noConversion"/>
  </si>
  <si>
    <t>註：</t>
    <phoneticPr fontId="3" type="noConversion"/>
  </si>
  <si>
    <t>加總</t>
    <phoneticPr fontId="3" type="noConversion"/>
  </si>
  <si>
    <t>姓名</t>
    <phoneticPr fontId="3" type="noConversion"/>
  </si>
  <si>
    <r>
      <t xml:space="preserve">1. 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日班會，出席者得一點，事前請假獲准者得半點。</t>
    </r>
    <phoneticPr fontId="3" type="noConversion"/>
  </si>
  <si>
    <r>
      <t xml:space="preserve">1. 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日班會，出席者得一點，事前請假獲准者得半點。</t>
    </r>
    <phoneticPr fontId="3" type="noConversion"/>
  </si>
  <si>
    <r>
      <t xml:space="preserve">1. 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日班會，出席者得一點，事前請假獲准者得半點。</t>
    </r>
    <phoneticPr fontId="3" type="noConversion"/>
  </si>
  <si>
    <t>1.</t>
    <phoneticPr fontId="3" type="noConversion"/>
  </si>
  <si>
    <t>496510051</t>
  </si>
  <si>
    <t>黃漢柏</t>
  </si>
  <si>
    <t>496510053</t>
  </si>
  <si>
    <t>顏采依</t>
  </si>
  <si>
    <t>496510055</t>
  </si>
  <si>
    <t>蔡沛霖</t>
  </si>
  <si>
    <t>496510057</t>
  </si>
  <si>
    <t>黃弘岳</t>
  </si>
  <si>
    <t>496510059</t>
  </si>
  <si>
    <t>張君如</t>
  </si>
  <si>
    <t>496510061</t>
  </si>
  <si>
    <t>王珪聿</t>
  </si>
  <si>
    <t>496510063</t>
  </si>
  <si>
    <t>周筱蓉</t>
  </si>
  <si>
    <t>496510046</t>
  </si>
  <si>
    <t>曾以寧</t>
  </si>
  <si>
    <t>496510048</t>
  </si>
  <si>
    <t>周育蓁</t>
  </si>
  <si>
    <t>496510060</t>
  </si>
  <si>
    <t>鄭向耘</t>
  </si>
  <si>
    <t>496510062</t>
  </si>
  <si>
    <t>張玉雯</t>
  </si>
  <si>
    <t>496510064</t>
  </si>
  <si>
    <t>劉珮君</t>
  </si>
  <si>
    <t>495510082</t>
  </si>
  <si>
    <t>林芸夙</t>
  </si>
  <si>
    <t>495510084</t>
  </si>
  <si>
    <t>陳珮頤</t>
  </si>
  <si>
    <t>495510086</t>
  </si>
  <si>
    <t>林誼玲</t>
  </si>
  <si>
    <t>496510093</t>
  </si>
  <si>
    <t>吳靜宜</t>
  </si>
  <si>
    <t>496510095</t>
  </si>
  <si>
    <t>劉淑慧</t>
  </si>
  <si>
    <t>496510097</t>
  </si>
  <si>
    <t>劉舜仁</t>
  </si>
  <si>
    <t>496510002</t>
  </si>
  <si>
    <t>江育任</t>
  </si>
  <si>
    <t>496510004</t>
  </si>
  <si>
    <t>496510006</t>
  </si>
  <si>
    <t>施宇謙</t>
  </si>
  <si>
    <t>496510008</t>
  </si>
  <si>
    <t>陳緯翔</t>
  </si>
  <si>
    <t>496510010</t>
  </si>
  <si>
    <t>張庭瑋</t>
  </si>
  <si>
    <t>496510012</t>
  </si>
  <si>
    <t>陳星豪</t>
  </si>
  <si>
    <t>496510014</t>
  </si>
  <si>
    <t>廖奕雯</t>
  </si>
  <si>
    <t>494510057</t>
  </si>
  <si>
    <t>張淵巽</t>
  </si>
  <si>
    <t>494510061</t>
  </si>
  <si>
    <t>黃治強</t>
  </si>
  <si>
    <t>494510065</t>
  </si>
  <si>
    <t>陳淑燕</t>
  </si>
  <si>
    <t>494510067</t>
  </si>
  <si>
    <t>花淑芳</t>
  </si>
  <si>
    <t>494510079</t>
  </si>
  <si>
    <t>張孟駸</t>
  </si>
  <si>
    <t>496510042</t>
  </si>
  <si>
    <t>吳成佑</t>
  </si>
  <si>
    <t>496510044</t>
  </si>
  <si>
    <t>陳彥陵</t>
  </si>
  <si>
    <t>496510085</t>
  </si>
  <si>
    <t>魏堯璿</t>
  </si>
  <si>
    <t>496510087</t>
  </si>
  <si>
    <t>黃柏憲</t>
  </si>
  <si>
    <t>496510089</t>
  </si>
  <si>
    <t>李怡君</t>
  </si>
  <si>
    <t>496510091</t>
  </si>
  <si>
    <t>唐銘駿</t>
  </si>
  <si>
    <t>495510052</t>
  </si>
  <si>
    <t>張育菁</t>
  </si>
  <si>
    <t>495510054</t>
  </si>
  <si>
    <t>盧藝丞</t>
  </si>
  <si>
    <t>495510058</t>
  </si>
  <si>
    <t>羅日良</t>
  </si>
  <si>
    <t>495510062</t>
  </si>
  <si>
    <t>林志育</t>
  </si>
  <si>
    <t>495510064</t>
  </si>
  <si>
    <t>陳敏茲</t>
  </si>
  <si>
    <t>495510066</t>
  </si>
  <si>
    <t>劉佩怡</t>
  </si>
  <si>
    <t>495510068</t>
  </si>
  <si>
    <t>496510018</t>
  </si>
  <si>
    <t>李思融</t>
  </si>
  <si>
    <t>496510020</t>
  </si>
  <si>
    <t>郭宛綾</t>
  </si>
  <si>
    <t>496510022</t>
  </si>
  <si>
    <t>何珮筠</t>
  </si>
  <si>
    <t>496510028</t>
  </si>
  <si>
    <t>蔡孟頻</t>
  </si>
  <si>
    <t>496510030</t>
  </si>
  <si>
    <t>王祥宇</t>
  </si>
  <si>
    <t>496510032</t>
  </si>
  <si>
    <t>林政頤</t>
  </si>
  <si>
    <t>496510034</t>
  </si>
  <si>
    <t>黃毓鈞</t>
  </si>
  <si>
    <t>496510036</t>
  </si>
  <si>
    <t>謝育邦</t>
  </si>
  <si>
    <t>496510038</t>
  </si>
  <si>
    <t>陳柏宏</t>
  </si>
  <si>
    <t>496510040</t>
  </si>
  <si>
    <t>周志勳</t>
  </si>
  <si>
    <t>497510013</t>
  </si>
  <si>
    <t>497510015</t>
  </si>
  <si>
    <t>蔡承哲</t>
  </si>
  <si>
    <t>497510017</t>
  </si>
  <si>
    <t>黃品歆</t>
  </si>
  <si>
    <t>497510019</t>
  </si>
  <si>
    <t>何純菁</t>
  </si>
  <si>
    <t>497510021</t>
  </si>
  <si>
    <t>林建智</t>
  </si>
  <si>
    <t>497510023</t>
  </si>
  <si>
    <t>陳彥昇</t>
  </si>
  <si>
    <t>497510025</t>
  </si>
  <si>
    <t>497510027</t>
  </si>
  <si>
    <t>黃詩敏</t>
  </si>
  <si>
    <t>497510029</t>
  </si>
  <si>
    <t>孫佑餘</t>
  </si>
  <si>
    <t>497510031</t>
  </si>
  <si>
    <t>巫尚益</t>
  </si>
  <si>
    <t>497510033</t>
  </si>
  <si>
    <t>黃芝林</t>
  </si>
  <si>
    <t>497510035</t>
  </si>
  <si>
    <t>陳晴媛</t>
  </si>
  <si>
    <t>497510037</t>
  </si>
  <si>
    <t>張瑜珊</t>
  </si>
  <si>
    <t>497510039</t>
  </si>
  <si>
    <t>林佳薇</t>
  </si>
  <si>
    <t>497510041</t>
  </si>
  <si>
    <t>林峻琦</t>
  </si>
  <si>
    <t>497510043</t>
  </si>
  <si>
    <t>陳映庭</t>
  </si>
  <si>
    <t>497510045</t>
  </si>
  <si>
    <t>彭雅欣</t>
  </si>
  <si>
    <t>496510066</t>
  </si>
  <si>
    <t>林語恒</t>
  </si>
  <si>
    <t>496510068</t>
  </si>
  <si>
    <t>施存彥</t>
  </si>
  <si>
    <t>496510072</t>
  </si>
  <si>
    <t>洪瑋謙</t>
  </si>
  <si>
    <t>496510074</t>
  </si>
  <si>
    <t>鄭暐錡</t>
  </si>
  <si>
    <t>496510076</t>
  </si>
  <si>
    <t>劉純杏</t>
  </si>
  <si>
    <t>496510078</t>
  </si>
  <si>
    <t>田怡佳</t>
  </si>
  <si>
    <t>495510099</t>
  </si>
  <si>
    <t>黃茹意</t>
  </si>
  <si>
    <t>495510100</t>
  </si>
  <si>
    <t>楊勝惠</t>
  </si>
  <si>
    <t>494125043</t>
  </si>
  <si>
    <t>丁仲緯</t>
  </si>
  <si>
    <t>497510040</t>
  </si>
  <si>
    <t>林　霖</t>
  </si>
  <si>
    <t>497510042</t>
  </si>
  <si>
    <t>陳瑋薇</t>
  </si>
  <si>
    <t>497510044</t>
  </si>
  <si>
    <t>徐詩婷</t>
  </si>
  <si>
    <t>497510046</t>
  </si>
  <si>
    <t>嚴暐昕</t>
  </si>
  <si>
    <t>497510048</t>
  </si>
  <si>
    <t>吳怡潔</t>
  </si>
  <si>
    <t>497510050</t>
  </si>
  <si>
    <t>陳宣如</t>
  </si>
  <si>
    <t>497510052</t>
  </si>
  <si>
    <t>蕭為澤</t>
  </si>
  <si>
    <t>497510054</t>
  </si>
  <si>
    <t>劉懿萱</t>
  </si>
  <si>
    <t>497510056</t>
  </si>
  <si>
    <t>鄭仲傑</t>
  </si>
  <si>
    <t>497510058</t>
  </si>
  <si>
    <t>劉冠村</t>
  </si>
  <si>
    <t>497510060</t>
  </si>
  <si>
    <t>梁宇晶</t>
  </si>
  <si>
    <t>497510062</t>
  </si>
  <si>
    <t>王瑜婷</t>
  </si>
  <si>
    <t>497510064</t>
  </si>
  <si>
    <t>蔡士旗</t>
  </si>
  <si>
    <t>497510066</t>
  </si>
  <si>
    <t>鄭筱諭</t>
  </si>
  <si>
    <t>497510068</t>
  </si>
  <si>
    <t>陳昱程</t>
  </si>
  <si>
    <t>497510070</t>
  </si>
  <si>
    <t>詹皓茗</t>
  </si>
  <si>
    <t>497510072</t>
  </si>
  <si>
    <t>楊雨軒</t>
  </si>
  <si>
    <t>497510074</t>
  </si>
  <si>
    <t>洪千琇</t>
  </si>
  <si>
    <t>497510076</t>
  </si>
  <si>
    <t>陳良璇</t>
  </si>
  <si>
    <t>497510078</t>
  </si>
  <si>
    <t>賴佳吟</t>
  </si>
  <si>
    <t>497510080</t>
  </si>
  <si>
    <t>翁貴貞</t>
  </si>
  <si>
    <t>497510082</t>
  </si>
  <si>
    <t>蔡依宛</t>
  </si>
  <si>
    <t>497510084</t>
  </si>
  <si>
    <t>呂政瑋</t>
  </si>
  <si>
    <t>497510086</t>
  </si>
  <si>
    <t>王志航</t>
  </si>
  <si>
    <t>497510088</t>
  </si>
  <si>
    <t>陳盈淇</t>
  </si>
  <si>
    <t>495510088</t>
  </si>
  <si>
    <t>胡展銘</t>
  </si>
  <si>
    <t>495510090</t>
  </si>
  <si>
    <t>鄭棨元</t>
  </si>
  <si>
    <t>496510050</t>
  </si>
  <si>
    <t>黃玉婷</t>
  </si>
  <si>
    <t>496510052</t>
  </si>
  <si>
    <t>游禎良</t>
  </si>
  <si>
    <t>496510054</t>
  </si>
  <si>
    <t>黃亦寧</t>
  </si>
  <si>
    <t>496510056</t>
  </si>
  <si>
    <t>鄭雅中</t>
  </si>
  <si>
    <t>496510058</t>
  </si>
  <si>
    <t>郭原豪</t>
  </si>
  <si>
    <t>496510017</t>
  </si>
  <si>
    <t>許雅筑</t>
  </si>
  <si>
    <t>496510019</t>
  </si>
  <si>
    <t>陳昶慈</t>
  </si>
  <si>
    <t>496510021</t>
  </si>
  <si>
    <t>王凱澤</t>
  </si>
  <si>
    <t>496510029</t>
  </si>
  <si>
    <t>許雅棠</t>
  </si>
  <si>
    <t>496510031</t>
  </si>
  <si>
    <t>郭文軒</t>
  </si>
  <si>
    <t>496510033</t>
  </si>
  <si>
    <t>涂沛瑩</t>
  </si>
  <si>
    <t>496510035</t>
  </si>
  <si>
    <t>莊夙涵</t>
  </si>
  <si>
    <t>496510037</t>
  </si>
  <si>
    <t>楊志彬</t>
  </si>
  <si>
    <t>496510039</t>
  </si>
  <si>
    <t>張庭瑜</t>
  </si>
  <si>
    <t>496510041</t>
  </si>
  <si>
    <t>蔡志強</t>
  </si>
  <si>
    <t>495510105</t>
  </si>
  <si>
    <t>徐維勵</t>
  </si>
  <si>
    <t>495510107</t>
  </si>
  <si>
    <t>簡愉芸</t>
  </si>
  <si>
    <t>495510109</t>
  </si>
  <si>
    <t>傅郁婷</t>
  </si>
  <si>
    <t>494510081</t>
  </si>
  <si>
    <t>程文馨</t>
  </si>
  <si>
    <t>494510087</t>
  </si>
  <si>
    <t>常芝瑞</t>
  </si>
  <si>
    <t>494510089</t>
  </si>
  <si>
    <t>余潔心</t>
  </si>
  <si>
    <t>494510093</t>
  </si>
  <si>
    <t>文郁承</t>
  </si>
  <si>
    <t>494510095</t>
  </si>
  <si>
    <t>盧姵君</t>
  </si>
  <si>
    <t>494510097</t>
  </si>
  <si>
    <t>楊曉婷</t>
  </si>
  <si>
    <t>494510099</t>
  </si>
  <si>
    <t>葉育銘</t>
  </si>
  <si>
    <t>494510101</t>
  </si>
  <si>
    <t>曾雅鈴</t>
  </si>
  <si>
    <t>497510047</t>
  </si>
  <si>
    <t>蘇玉玫</t>
  </si>
  <si>
    <t>497510049</t>
  </si>
  <si>
    <t>彭佩雯</t>
  </si>
  <si>
    <t>497510051</t>
  </si>
  <si>
    <t>吳昌儒</t>
  </si>
  <si>
    <t>497510053</t>
  </si>
  <si>
    <t>林志達</t>
  </si>
  <si>
    <t>497510055</t>
  </si>
  <si>
    <t>張雅玟</t>
  </si>
  <si>
    <t>495510040</t>
  </si>
  <si>
    <t>蕭維宇</t>
  </si>
  <si>
    <t>495510042</t>
  </si>
  <si>
    <t>呂寧遠</t>
  </si>
  <si>
    <t>495510044</t>
  </si>
  <si>
    <t>徐豪廷</t>
  </si>
  <si>
    <t>495510046</t>
  </si>
  <si>
    <t>游雅婷</t>
  </si>
  <si>
    <t>495510048</t>
  </si>
  <si>
    <t>黃鈺心</t>
  </si>
  <si>
    <t>495510050</t>
  </si>
  <si>
    <t>廖如憶</t>
  </si>
  <si>
    <t>497510081</t>
  </si>
  <si>
    <t>李培綺</t>
  </si>
  <si>
    <t>497510083</t>
  </si>
  <si>
    <t>羅勻翔</t>
  </si>
  <si>
    <t>497510085</t>
  </si>
  <si>
    <t>蘇宏恩</t>
  </si>
  <si>
    <t>497510087</t>
  </si>
  <si>
    <t>傅景樑</t>
  </si>
  <si>
    <t>497510089</t>
  </si>
  <si>
    <t>鄭詠心</t>
  </si>
  <si>
    <t>497510091</t>
  </si>
  <si>
    <t>蔡宛真</t>
  </si>
  <si>
    <t>494510088</t>
  </si>
  <si>
    <t>謝宜育</t>
  </si>
  <si>
    <t>494510090</t>
  </si>
  <si>
    <t>程纓唎</t>
  </si>
  <si>
    <t>494510092</t>
  </si>
  <si>
    <t>王郁菁</t>
  </si>
  <si>
    <t>494510094</t>
  </si>
  <si>
    <t>陳怡君</t>
  </si>
  <si>
    <t>494510096</t>
  </si>
  <si>
    <t>李欣玹</t>
  </si>
  <si>
    <t>494510098</t>
  </si>
  <si>
    <t>許麗雯</t>
  </si>
  <si>
    <t>494510100</t>
  </si>
  <si>
    <t>王耀進</t>
  </si>
  <si>
    <t>494510102</t>
  </si>
  <si>
    <t>張皓嵐</t>
  </si>
  <si>
    <t>494510104</t>
  </si>
  <si>
    <t>林宇晴</t>
  </si>
  <si>
    <t>497510057</t>
  </si>
  <si>
    <t>陳逸昇</t>
  </si>
  <si>
    <t>497510059</t>
  </si>
  <si>
    <t>陳筠喬</t>
  </si>
  <si>
    <t>497510061</t>
  </si>
  <si>
    <t>戴卿宜</t>
  </si>
  <si>
    <t>497510063</t>
  </si>
  <si>
    <t>張育晟</t>
  </si>
  <si>
    <t>497510065</t>
  </si>
  <si>
    <t>林威呈</t>
  </si>
  <si>
    <t>497510069</t>
  </si>
  <si>
    <t>呂俊諺</t>
  </si>
  <si>
    <t>497510071</t>
  </si>
  <si>
    <t>李宛凌</t>
  </si>
  <si>
    <t>497510073</t>
  </si>
  <si>
    <t>戴嘉良</t>
  </si>
  <si>
    <t>497510075</t>
  </si>
  <si>
    <t>吳宛錚</t>
  </si>
  <si>
    <t>497510077</t>
  </si>
  <si>
    <t>陳佩琪</t>
  </si>
  <si>
    <t>497510079</t>
  </si>
  <si>
    <t>蕭佳芳</t>
  </si>
  <si>
    <t>495510092</t>
  </si>
  <si>
    <t>李佳穎</t>
  </si>
  <si>
    <t>495510096</t>
  </si>
  <si>
    <t>張簡名真</t>
  </si>
  <si>
    <t>495510098</t>
  </si>
  <si>
    <t>宋心皓</t>
  </si>
  <si>
    <t>494510002</t>
  </si>
  <si>
    <t>林強盛</t>
  </si>
  <si>
    <t>494510004</t>
  </si>
  <si>
    <t>吳杏儀</t>
  </si>
  <si>
    <t>494510008</t>
  </si>
  <si>
    <t>賴柏成</t>
  </si>
  <si>
    <t>494510010</t>
  </si>
  <si>
    <t>周彥廷</t>
  </si>
  <si>
    <t>494510018</t>
  </si>
  <si>
    <t>廖揚智</t>
  </si>
  <si>
    <t>494510022</t>
  </si>
  <si>
    <t>甘于舫</t>
  </si>
  <si>
    <t>494510026</t>
  </si>
  <si>
    <t>楊行翔</t>
  </si>
  <si>
    <t>494510028</t>
  </si>
  <si>
    <t>陳品元</t>
  </si>
  <si>
    <t>494510032</t>
  </si>
  <si>
    <t>陳玟</t>
  </si>
  <si>
    <t>494510034</t>
  </si>
  <si>
    <t>楊忠勳</t>
  </si>
  <si>
    <t>494510038</t>
  </si>
  <si>
    <t>張峻誌</t>
  </si>
  <si>
    <t>494510042</t>
  </si>
  <si>
    <t>夏士豪</t>
  </si>
  <si>
    <t>494510050</t>
  </si>
  <si>
    <t>洪偉傑</t>
  </si>
  <si>
    <t>494510005</t>
  </si>
  <si>
    <t>郭東穎</t>
  </si>
  <si>
    <t>494510007</t>
  </si>
  <si>
    <t>詹東峰</t>
  </si>
  <si>
    <t>494510009</t>
  </si>
  <si>
    <t>羅彥欽</t>
  </si>
  <si>
    <t>494510011</t>
  </si>
  <si>
    <t>林俊志</t>
  </si>
  <si>
    <t>494510013</t>
  </si>
  <si>
    <t>林倩如</t>
  </si>
  <si>
    <t>494510017</t>
  </si>
  <si>
    <t>許恆瀧</t>
  </si>
  <si>
    <t>494510019</t>
  </si>
  <si>
    <t>程海威</t>
  </si>
  <si>
    <t>494510023</t>
  </si>
  <si>
    <t>何佩勳</t>
  </si>
  <si>
    <t>494510027</t>
  </si>
  <si>
    <t>何逸揚</t>
  </si>
  <si>
    <t>494510029</t>
  </si>
  <si>
    <t>沈晉豪</t>
  </si>
  <si>
    <t>494510037</t>
  </si>
  <si>
    <t>陳威任</t>
  </si>
  <si>
    <t>494510039</t>
  </si>
  <si>
    <t>楊子弘</t>
  </si>
  <si>
    <t>494510041</t>
  </si>
  <si>
    <t>謝明喜</t>
  </si>
  <si>
    <t>494510043</t>
  </si>
  <si>
    <t>吳中平</t>
  </si>
  <si>
    <t>494510045</t>
  </si>
  <si>
    <t>494510051</t>
  </si>
  <si>
    <t>黃昱凱</t>
  </si>
  <si>
    <t>494510053</t>
  </si>
  <si>
    <t>葉虹伶</t>
  </si>
  <si>
    <t>495510031</t>
  </si>
  <si>
    <t>林浩然</t>
  </si>
  <si>
    <t>495510035</t>
  </si>
  <si>
    <t>黃羿菁</t>
  </si>
  <si>
    <t>495510037</t>
  </si>
  <si>
    <t>蕭佩君</t>
  </si>
  <si>
    <t>495510039</t>
  </si>
  <si>
    <t>張書瑜</t>
  </si>
  <si>
    <t>497510090</t>
  </si>
  <si>
    <t>洪怡靜</t>
  </si>
  <si>
    <t>497510092</t>
  </si>
  <si>
    <t>蔡孟傑</t>
  </si>
  <si>
    <t>497510094</t>
  </si>
  <si>
    <t>曾子勳</t>
  </si>
  <si>
    <t>497510098</t>
  </si>
  <si>
    <t>廖瑋如</t>
  </si>
  <si>
    <t>497510100</t>
  </si>
  <si>
    <t>陸艷霞</t>
  </si>
  <si>
    <t>495510055</t>
  </si>
  <si>
    <t>詹茗捷</t>
  </si>
  <si>
    <t>495510057</t>
  </si>
  <si>
    <t>楊婉君</t>
  </si>
  <si>
    <t>495510059</t>
  </si>
  <si>
    <t>林岳弘</t>
  </si>
  <si>
    <t>495510061</t>
  </si>
  <si>
    <t>羅惠俞</t>
  </si>
  <si>
    <t>495510063</t>
  </si>
  <si>
    <t>黃日甫</t>
  </si>
  <si>
    <t>496510001</t>
  </si>
  <si>
    <t>王　捷</t>
  </si>
  <si>
    <t>496510003</t>
  </si>
  <si>
    <t>496510005</t>
  </si>
  <si>
    <t>劉冠佑</t>
  </si>
  <si>
    <t>496510007</t>
  </si>
  <si>
    <t>李典倫</t>
  </si>
  <si>
    <t>496510009</t>
  </si>
  <si>
    <t>楊政穎</t>
  </si>
  <si>
    <t>496510011</t>
  </si>
  <si>
    <t>方彥修</t>
  </si>
  <si>
    <t>496510013</t>
  </si>
  <si>
    <t>洪亞萍</t>
  </si>
  <si>
    <t>496510015</t>
  </si>
  <si>
    <t>曾迎瑋</t>
  </si>
  <si>
    <t>495510010</t>
  </si>
  <si>
    <t>葉紘圻</t>
  </si>
  <si>
    <t>495510012</t>
  </si>
  <si>
    <t>邱奕辰</t>
  </si>
  <si>
    <t>495510014</t>
  </si>
  <si>
    <t>林靖容</t>
  </si>
  <si>
    <t>495510016</t>
  </si>
  <si>
    <t>黃舒敏</t>
  </si>
  <si>
    <t>495510018</t>
  </si>
  <si>
    <t>陳鏡婷</t>
  </si>
  <si>
    <t>495510020</t>
  </si>
  <si>
    <t>蔡韻慈</t>
  </si>
  <si>
    <t>495510022</t>
  </si>
  <si>
    <t>林聖祐</t>
  </si>
  <si>
    <t>494510062</t>
  </si>
  <si>
    <t>王芃勛</t>
  </si>
  <si>
    <t>494510064</t>
  </si>
  <si>
    <t>楊茗嵐</t>
  </si>
  <si>
    <t>494510074</t>
  </si>
  <si>
    <t>陳毓慧</t>
  </si>
  <si>
    <t>495510072</t>
  </si>
  <si>
    <t>楊沛怡</t>
  </si>
  <si>
    <t>495510074</t>
  </si>
  <si>
    <t>林彥君</t>
  </si>
  <si>
    <t>495510076</t>
  </si>
  <si>
    <t>陳婉婷</t>
  </si>
  <si>
    <t>495510078</t>
  </si>
  <si>
    <t>陳鵬如</t>
  </si>
  <si>
    <t>495510080</t>
  </si>
  <si>
    <t>王暐雄</t>
  </si>
  <si>
    <t>495510067</t>
  </si>
  <si>
    <t>林玉珊</t>
  </si>
  <si>
    <t>495510069</t>
  </si>
  <si>
    <t>梁溢詳</t>
  </si>
  <si>
    <t>495510071</t>
  </si>
  <si>
    <t>鄭達明</t>
  </si>
  <si>
    <t>495510073</t>
  </si>
  <si>
    <t>劉德權</t>
  </si>
  <si>
    <t>495510075</t>
  </si>
  <si>
    <t>495510077</t>
  </si>
  <si>
    <t>王雅萱</t>
  </si>
  <si>
    <t>495510079</t>
  </si>
  <si>
    <t>方瀚璿</t>
  </si>
  <si>
    <t>495510083</t>
  </si>
  <si>
    <t>許雅婷</t>
  </si>
  <si>
    <t>495510085</t>
  </si>
  <si>
    <t>陳巧薇</t>
  </si>
  <si>
    <t>495510087</t>
  </si>
  <si>
    <t>林伊苹</t>
  </si>
  <si>
    <t>495510089</t>
  </si>
  <si>
    <t>金威翰</t>
  </si>
  <si>
    <t>495510093</t>
  </si>
  <si>
    <t>吳嘉華</t>
  </si>
  <si>
    <t>495510095</t>
  </si>
  <si>
    <t>許容嘉</t>
  </si>
  <si>
    <t>學號</t>
  </si>
  <si>
    <t>496510080</t>
  </si>
  <si>
    <t>吳仟羽</t>
  </si>
  <si>
    <t>496510082</t>
  </si>
  <si>
    <t>陳依茜</t>
  </si>
  <si>
    <t>496510084</t>
  </si>
  <si>
    <t>曹發菊</t>
  </si>
  <si>
    <t>496510086</t>
  </si>
  <si>
    <t>許佳容</t>
  </si>
  <si>
    <t>496510088</t>
  </si>
  <si>
    <t>許容翊</t>
  </si>
  <si>
    <t>496510092</t>
  </si>
  <si>
    <t>黃君霖</t>
  </si>
  <si>
    <t>496510098</t>
  </si>
  <si>
    <t>陳姿吟</t>
  </si>
  <si>
    <t>學生姓名</t>
  </si>
  <si>
    <t>494125053</t>
  </si>
  <si>
    <t>張絲喬</t>
  </si>
  <si>
    <t>494330019</t>
  </si>
  <si>
    <t>鄭淑文</t>
  </si>
  <si>
    <t>495510065</t>
  </si>
  <si>
    <t>賴涵婷</t>
  </si>
  <si>
    <t>494510056</t>
  </si>
  <si>
    <t>莊沛璁</t>
  </si>
  <si>
    <t>495510008</t>
  </si>
  <si>
    <t>黃柏鈞</t>
  </si>
  <si>
    <t>496510071</t>
  </si>
  <si>
    <t>林陽至</t>
  </si>
  <si>
    <t>496510073</t>
  </si>
  <si>
    <t>盧書媛</t>
  </si>
  <si>
    <t>496510075</t>
  </si>
  <si>
    <t>洪丞濰</t>
  </si>
  <si>
    <t>496510077</t>
  </si>
  <si>
    <t>柯瑋婷</t>
  </si>
  <si>
    <t>496510079</t>
  </si>
  <si>
    <t>陳崇輝</t>
  </si>
  <si>
    <t>496510081</t>
  </si>
  <si>
    <t>吳安妮</t>
  </si>
  <si>
    <t>495510024</t>
  </si>
  <si>
    <t>江依倫</t>
  </si>
  <si>
    <t>495510026</t>
  </si>
  <si>
    <t>廖郁淳</t>
  </si>
  <si>
    <t>495510028</t>
  </si>
  <si>
    <t>陳建逢</t>
  </si>
  <si>
    <t>495510032</t>
  </si>
  <si>
    <t>董瀚文</t>
  </si>
  <si>
    <t>495510034</t>
  </si>
  <si>
    <t>嚴文靜</t>
  </si>
  <si>
    <t>495510036</t>
  </si>
  <si>
    <t>495510038</t>
  </si>
  <si>
    <t>黃郁華</t>
  </si>
  <si>
    <t>496510049</t>
  </si>
  <si>
    <t>張維政</t>
  </si>
  <si>
    <t xml:space="preserve">目前累積最高點數： </t>
    <phoneticPr fontId="3" type="noConversion"/>
  </si>
  <si>
    <r>
      <t>目前累積最高點數：</t>
    </r>
    <r>
      <rPr>
        <sz val="12"/>
        <rFont val="新細明體"/>
        <family val="1"/>
        <charset val="136"/>
      </rPr>
      <t xml:space="preserve"> </t>
    </r>
    <phoneticPr fontId="3" type="noConversion"/>
  </si>
  <si>
    <r>
      <t xml:space="preserve">2. 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日企業參訪，出席者得一點。</t>
    </r>
    <phoneticPr fontId="3" type="noConversion"/>
  </si>
  <si>
    <t>2.</t>
    <phoneticPr fontId="3" type="noConversion"/>
  </si>
  <si>
    <t>498510001</t>
  </si>
  <si>
    <t>黃寶慶</t>
  </si>
  <si>
    <t>498510002</t>
  </si>
  <si>
    <t>黃華鈺</t>
  </si>
  <si>
    <t>498510003</t>
  </si>
  <si>
    <t>賴郁如</t>
  </si>
  <si>
    <t>498510004</t>
  </si>
  <si>
    <t>余昱芳</t>
  </si>
  <si>
    <t>498510005</t>
  </si>
  <si>
    <t>楊斯杰</t>
  </si>
  <si>
    <t>498510006</t>
  </si>
  <si>
    <t>曾芷彤</t>
  </si>
  <si>
    <t>498510007</t>
  </si>
  <si>
    <t>呂健偉</t>
  </si>
  <si>
    <t>498510008</t>
  </si>
  <si>
    <t>關遠謀</t>
  </si>
  <si>
    <t>498510009</t>
  </si>
  <si>
    <t>楊如耀</t>
  </si>
  <si>
    <t>498510010</t>
  </si>
  <si>
    <t>王楷鈞</t>
  </si>
  <si>
    <t>498510011</t>
  </si>
  <si>
    <t>王致達</t>
  </si>
  <si>
    <t>498510012</t>
  </si>
  <si>
    <t>蔣忠霖</t>
  </si>
  <si>
    <t>498510013</t>
  </si>
  <si>
    <t>江韋勳</t>
  </si>
  <si>
    <t>498510014</t>
  </si>
  <si>
    <t>劉紀廷</t>
  </si>
  <si>
    <t>498510015</t>
  </si>
  <si>
    <t>林丘安</t>
  </si>
  <si>
    <t>498510016</t>
  </si>
  <si>
    <t>李　律</t>
  </si>
  <si>
    <t>498510017</t>
  </si>
  <si>
    <t>王科鈞</t>
  </si>
  <si>
    <t>498510018</t>
  </si>
  <si>
    <t>王晨翰</t>
  </si>
  <si>
    <t>498510019</t>
  </si>
  <si>
    <t>巫柏禹</t>
  </si>
  <si>
    <t>498510020</t>
  </si>
  <si>
    <t>郭彥廷</t>
  </si>
  <si>
    <t>498510021</t>
  </si>
  <si>
    <t>潘之涵</t>
  </si>
  <si>
    <t>498510022</t>
  </si>
  <si>
    <t>洪毓廷</t>
  </si>
  <si>
    <t>498510023</t>
  </si>
  <si>
    <t>鄧郁靜</t>
  </si>
  <si>
    <t>498510024</t>
  </si>
  <si>
    <t>陳姵儒</t>
  </si>
  <si>
    <t>498510025</t>
  </si>
  <si>
    <t>李宜芳</t>
  </si>
  <si>
    <t>498510026</t>
  </si>
  <si>
    <t>林芷于</t>
  </si>
  <si>
    <t>498510027</t>
  </si>
  <si>
    <t>薛珮君</t>
  </si>
  <si>
    <t>498510028</t>
  </si>
  <si>
    <t>廖昭如</t>
  </si>
  <si>
    <t>498510029</t>
  </si>
  <si>
    <t>李珮綸</t>
  </si>
  <si>
    <t>498510030</t>
  </si>
  <si>
    <t>邱慈涵</t>
  </si>
  <si>
    <t>498510031</t>
  </si>
  <si>
    <t>孫麗雲</t>
  </si>
  <si>
    <t>498510032</t>
  </si>
  <si>
    <t>吳品嫻</t>
  </si>
  <si>
    <t>498510033</t>
  </si>
  <si>
    <t>吳哲瑋</t>
  </si>
  <si>
    <t>498510034</t>
  </si>
  <si>
    <t>莊士宏</t>
  </si>
  <si>
    <t>498510035</t>
  </si>
  <si>
    <t>何克威</t>
  </si>
  <si>
    <t>498510036</t>
  </si>
  <si>
    <t>葉韋均</t>
  </si>
  <si>
    <t>498510037</t>
  </si>
  <si>
    <t>劉冠賢</t>
  </si>
  <si>
    <t>498510038</t>
  </si>
  <si>
    <t>簡嘉融</t>
  </si>
  <si>
    <t>498510039</t>
  </si>
  <si>
    <t>黃乙純</t>
  </si>
  <si>
    <t>498510040</t>
  </si>
  <si>
    <t>鍾建弘</t>
  </si>
  <si>
    <t>498510041</t>
  </si>
  <si>
    <t>洪國翔</t>
  </si>
  <si>
    <t>498510042</t>
  </si>
  <si>
    <t>林奕廷</t>
  </si>
  <si>
    <t>498510043</t>
  </si>
  <si>
    <t>涂育嘉</t>
  </si>
  <si>
    <t>498510044</t>
  </si>
  <si>
    <t>陳瑋宗</t>
  </si>
  <si>
    <t>498510045</t>
  </si>
  <si>
    <t>蔡明諺</t>
  </si>
  <si>
    <t>498510046</t>
  </si>
  <si>
    <t>簡莉安</t>
  </si>
  <si>
    <t>498510047</t>
  </si>
  <si>
    <t>賴芳儀</t>
  </si>
  <si>
    <t>498510048</t>
  </si>
  <si>
    <t>何翰霓</t>
  </si>
  <si>
    <t>498510049</t>
  </si>
  <si>
    <t>林佳瑩</t>
  </si>
  <si>
    <t>498510050</t>
  </si>
  <si>
    <t>林映萱</t>
  </si>
  <si>
    <t>498510051</t>
  </si>
  <si>
    <t>蕭如忻</t>
  </si>
  <si>
    <t>498510052</t>
  </si>
  <si>
    <t>林盈均</t>
  </si>
  <si>
    <t>498510053</t>
  </si>
  <si>
    <t>陳怡臻</t>
  </si>
  <si>
    <t>498510054</t>
  </si>
  <si>
    <t>官蔓潔</t>
  </si>
  <si>
    <t>498510055</t>
  </si>
  <si>
    <t>徐佑誠</t>
  </si>
  <si>
    <t>498510056</t>
  </si>
  <si>
    <t>林江羽</t>
  </si>
  <si>
    <t>498510057</t>
  </si>
  <si>
    <t>吳怡臻</t>
  </si>
  <si>
    <t>498510058</t>
  </si>
  <si>
    <t>沈芊妤</t>
  </si>
  <si>
    <t>498510059</t>
  </si>
  <si>
    <t>駱荻茜</t>
  </si>
  <si>
    <t>498510060</t>
  </si>
  <si>
    <t>黃御惇</t>
  </si>
  <si>
    <t>498510061</t>
  </si>
  <si>
    <t>邱儀</t>
  </si>
  <si>
    <t>498510062</t>
  </si>
  <si>
    <t>戴竹君</t>
  </si>
  <si>
    <t>498510063</t>
  </si>
  <si>
    <t>謝松廷</t>
  </si>
  <si>
    <t>498510064</t>
  </si>
  <si>
    <t>陳伊琪</t>
  </si>
  <si>
    <t>498510065</t>
  </si>
  <si>
    <t>林昌政</t>
  </si>
  <si>
    <t>498510066</t>
  </si>
  <si>
    <t>顏彥禎</t>
  </si>
  <si>
    <t>498510067</t>
  </si>
  <si>
    <t>吳家琪</t>
  </si>
  <si>
    <t>498510068</t>
  </si>
  <si>
    <t>周映余</t>
  </si>
  <si>
    <t>498510069</t>
  </si>
  <si>
    <t>周旆如</t>
  </si>
  <si>
    <t>498510070</t>
  </si>
  <si>
    <t>林宇文</t>
  </si>
  <si>
    <t>498510071</t>
  </si>
  <si>
    <t>李培青</t>
  </si>
  <si>
    <t>498510072</t>
  </si>
  <si>
    <t>莊雁婷</t>
  </si>
  <si>
    <t>498510073</t>
  </si>
  <si>
    <t>謝怡婷</t>
  </si>
  <si>
    <t>498510074</t>
  </si>
  <si>
    <t>劉明偉</t>
  </si>
  <si>
    <t>498510075</t>
  </si>
  <si>
    <t>謝博凱</t>
  </si>
  <si>
    <t>498510076</t>
  </si>
  <si>
    <t>陳璽仲</t>
  </si>
  <si>
    <t>498510077</t>
  </si>
  <si>
    <t>498510078</t>
  </si>
  <si>
    <t>劉映君</t>
  </si>
  <si>
    <t>498510079</t>
  </si>
  <si>
    <t>陳怜伶</t>
  </si>
  <si>
    <t>498510080</t>
  </si>
  <si>
    <t>巫夢苓</t>
  </si>
  <si>
    <t>498510081</t>
  </si>
  <si>
    <t>藍珮齊</t>
  </si>
  <si>
    <t>498510082</t>
  </si>
  <si>
    <t>寇先元</t>
  </si>
  <si>
    <t>498510083</t>
  </si>
  <si>
    <t>李昀泰</t>
  </si>
  <si>
    <t>498510084</t>
  </si>
  <si>
    <t>洪皓群</t>
  </si>
  <si>
    <t>498510085</t>
  </si>
  <si>
    <t>林千鈺</t>
  </si>
  <si>
    <t>498510086</t>
  </si>
  <si>
    <t>林庭安</t>
  </si>
  <si>
    <t>498510087</t>
  </si>
  <si>
    <t>張吟瑟</t>
  </si>
  <si>
    <t>498510088</t>
  </si>
  <si>
    <t>黃憲廷</t>
  </si>
  <si>
    <t>498510089</t>
  </si>
  <si>
    <t>杜於珊</t>
  </si>
  <si>
    <t>498510090</t>
  </si>
  <si>
    <t>洪庭雯</t>
  </si>
  <si>
    <t>498510091</t>
  </si>
  <si>
    <t>賴盈如</t>
  </si>
  <si>
    <t>498510092</t>
  </si>
  <si>
    <t>陳雅玟</t>
  </si>
  <si>
    <t>498510093</t>
  </si>
  <si>
    <t>李亭韋</t>
  </si>
  <si>
    <t>498510094</t>
  </si>
  <si>
    <t>錢紹賓</t>
  </si>
  <si>
    <t>498510095</t>
  </si>
  <si>
    <t>邱繼潁</t>
  </si>
  <si>
    <t>498510096</t>
  </si>
  <si>
    <t>劉清竣</t>
  </si>
  <si>
    <t>498510097</t>
  </si>
  <si>
    <t>陳鈺奇</t>
  </si>
  <si>
    <t>498510098</t>
  </si>
  <si>
    <t>吳雅婷</t>
  </si>
  <si>
    <t>498510099</t>
  </si>
  <si>
    <t>陳俐廷</t>
  </si>
  <si>
    <t>498510100</t>
  </si>
  <si>
    <t>蕭明鈞</t>
  </si>
  <si>
    <t>498510101</t>
  </si>
  <si>
    <t>李恩碩</t>
  </si>
  <si>
    <t>498510102</t>
  </si>
  <si>
    <t>白家泙</t>
  </si>
  <si>
    <t>游綉云</t>
    <phoneticPr fontId="3" type="noConversion"/>
  </si>
  <si>
    <t>備註：</t>
    <phoneticPr fontId="3" type="noConversion"/>
  </si>
  <si>
    <t>翁嘉穗</t>
    <phoneticPr fontId="3" type="noConversion"/>
  </si>
  <si>
    <t>中位數</t>
    <phoneticPr fontId="3" type="noConversion"/>
  </si>
  <si>
    <r>
      <t>2.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19</t>
    </r>
    <r>
      <rPr>
        <sz val="12"/>
        <rFont val="細明體"/>
        <family val="3"/>
        <charset val="136"/>
      </rPr>
      <t>日羅瑋博士演講，出席者得一點，沒請假缺席者扣</t>
    </r>
    <r>
      <rPr>
        <sz val="12"/>
        <rFont val="Times New Roman"/>
        <family val="1"/>
      </rPr>
      <t>0.5</t>
    </r>
    <r>
      <rPr>
        <sz val="12"/>
        <rFont val="細明體"/>
        <family val="3"/>
        <charset val="136"/>
      </rPr>
      <t>分。</t>
    </r>
    <phoneticPr fontId="3" type="noConversion"/>
  </si>
  <si>
    <r>
      <t>3.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19</t>
    </r>
    <r>
      <rPr>
        <sz val="12"/>
        <rFont val="細明體"/>
        <family val="3"/>
        <charset val="136"/>
      </rPr>
      <t>日羅瑋博士演講，出席者得一點，沒請假缺席者扣</t>
    </r>
    <r>
      <rPr>
        <sz val="12"/>
        <rFont val="Times New Roman"/>
        <family val="1"/>
      </rPr>
      <t>0.5</t>
    </r>
    <r>
      <rPr>
        <sz val="12"/>
        <rFont val="細明體"/>
        <family val="3"/>
        <charset val="136"/>
      </rPr>
      <t>分。</t>
    </r>
    <phoneticPr fontId="3" type="noConversion"/>
  </si>
  <si>
    <r>
      <t>4.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4</t>
    </r>
    <r>
      <rPr>
        <sz val="12"/>
        <rFont val="細明體"/>
        <family val="3"/>
        <charset val="136"/>
      </rPr>
      <t>日參加『青春耀，不藥』活動的同學。</t>
    </r>
    <phoneticPr fontId="3" type="noConversion"/>
  </si>
  <si>
    <r>
      <t>3.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4</t>
    </r>
    <r>
      <rPr>
        <sz val="12"/>
        <rFont val="細明體"/>
        <family val="3"/>
        <charset val="136"/>
      </rPr>
      <t>日參加『青春耀，不藥』活動的同學。</t>
    </r>
    <phoneticPr fontId="3" type="noConversion"/>
  </si>
  <si>
    <t xml:space="preserve"> </t>
    <phoneticPr fontId="3" type="noConversion"/>
  </si>
  <si>
    <r>
      <t>4.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細明體"/>
        <family val="3"/>
        <charset val="136"/>
      </rPr>
      <t>日洪嘉陽博士演講，出席者得一點。</t>
    </r>
    <phoneticPr fontId="3" type="noConversion"/>
  </si>
  <si>
    <t>5.為2010年6月11日參加企業參訪，出席者得1點。</t>
    <phoneticPr fontId="3" type="noConversion"/>
  </si>
  <si>
    <t>499510001</t>
  </si>
  <si>
    <t>呂健華</t>
  </si>
  <si>
    <t>499510003</t>
  </si>
  <si>
    <t>古肇喻</t>
  </si>
  <si>
    <t>499510005</t>
  </si>
  <si>
    <t>吳弘麒</t>
  </si>
  <si>
    <t>499510007</t>
  </si>
  <si>
    <t>楊珞抒</t>
  </si>
  <si>
    <t>499510009</t>
  </si>
  <si>
    <t>莊雪萍</t>
  </si>
  <si>
    <t>499510011</t>
  </si>
  <si>
    <t>邱可甄</t>
  </si>
  <si>
    <t>499510013</t>
  </si>
  <si>
    <t>曲綺</t>
  </si>
  <si>
    <t>499510015</t>
  </si>
  <si>
    <t>陳鈺麒</t>
  </si>
  <si>
    <t>499510017</t>
  </si>
  <si>
    <t>游景翔</t>
  </si>
  <si>
    <t>499510019</t>
  </si>
  <si>
    <t>詹穎儒</t>
  </si>
  <si>
    <t>499510021</t>
  </si>
  <si>
    <t>林品妤</t>
  </si>
  <si>
    <t>499510023</t>
  </si>
  <si>
    <t>劉亭均</t>
  </si>
  <si>
    <t>499510025</t>
  </si>
  <si>
    <t>何天與</t>
  </si>
  <si>
    <t>499510027</t>
  </si>
  <si>
    <t>何師賢</t>
  </si>
  <si>
    <t>499510029</t>
  </si>
  <si>
    <t>李　晨</t>
  </si>
  <si>
    <t>499510031</t>
  </si>
  <si>
    <t>張雅淳</t>
  </si>
  <si>
    <t>499510033</t>
  </si>
  <si>
    <t>魏釆娟</t>
  </si>
  <si>
    <t>499510035</t>
  </si>
  <si>
    <t>張君毓</t>
  </si>
  <si>
    <t>499510037</t>
  </si>
  <si>
    <t>林品勳</t>
  </si>
  <si>
    <t>499510041</t>
  </si>
  <si>
    <t>陳致娟</t>
  </si>
  <si>
    <t>499510043</t>
  </si>
  <si>
    <t>499510045</t>
  </si>
  <si>
    <t>陳人誼</t>
  </si>
  <si>
    <t>499510047</t>
  </si>
  <si>
    <t>簡冠羽</t>
  </si>
  <si>
    <t>499510049</t>
  </si>
  <si>
    <t>陳治宇</t>
  </si>
  <si>
    <t>499510051</t>
  </si>
  <si>
    <t>包謦瑋</t>
  </si>
  <si>
    <t>499510053</t>
  </si>
  <si>
    <t>莫惠淇</t>
  </si>
  <si>
    <t>499510055</t>
  </si>
  <si>
    <t>郭德荃</t>
  </si>
  <si>
    <t>499510057</t>
  </si>
  <si>
    <t>粘瑀芝</t>
  </si>
  <si>
    <t>499510059</t>
  </si>
  <si>
    <t>許竣凱</t>
  </si>
  <si>
    <t>499510061</t>
  </si>
  <si>
    <t>吳　桐</t>
  </si>
  <si>
    <t>499510063</t>
  </si>
  <si>
    <t>胡桓瑋</t>
  </si>
  <si>
    <t>499510065</t>
  </si>
  <si>
    <t>林于茜</t>
  </si>
  <si>
    <t>499510067</t>
  </si>
  <si>
    <t>張智偉</t>
  </si>
  <si>
    <t>499510069</t>
  </si>
  <si>
    <t>徐亦礽</t>
  </si>
  <si>
    <t>499510071</t>
  </si>
  <si>
    <t>紀芃安</t>
  </si>
  <si>
    <t>499510073</t>
  </si>
  <si>
    <t>曾玫蓁</t>
  </si>
  <si>
    <t>499510075</t>
  </si>
  <si>
    <t>林建呈</t>
  </si>
  <si>
    <t>499510077</t>
  </si>
  <si>
    <t>朱貫彰</t>
  </si>
  <si>
    <t>499510079</t>
  </si>
  <si>
    <t>曾盈慈</t>
  </si>
  <si>
    <t>499510081</t>
  </si>
  <si>
    <t>邱方妤</t>
  </si>
  <si>
    <t>499510083</t>
  </si>
  <si>
    <t>李孜惠</t>
  </si>
  <si>
    <t>499510085</t>
  </si>
  <si>
    <t>李昇軒</t>
  </si>
  <si>
    <t>499510087</t>
  </si>
  <si>
    <t>吳欣瑀</t>
  </si>
  <si>
    <t>499510089</t>
  </si>
  <si>
    <t>陳逸軒</t>
  </si>
  <si>
    <t>499510091</t>
  </si>
  <si>
    <t>張瀚升</t>
  </si>
  <si>
    <t>499510093</t>
  </si>
  <si>
    <t>林于瑄</t>
  </si>
  <si>
    <t>499510095</t>
  </si>
  <si>
    <t>林啟中</t>
  </si>
  <si>
    <t>499510097</t>
  </si>
  <si>
    <t>吳晏甄</t>
  </si>
  <si>
    <t>499510099</t>
  </si>
  <si>
    <t>張世豪</t>
  </si>
  <si>
    <t>499510101</t>
  </si>
  <si>
    <t>林彥瑩</t>
  </si>
  <si>
    <t>499510103</t>
  </si>
  <si>
    <t>黃鈺婷</t>
  </si>
  <si>
    <t>499510105</t>
  </si>
  <si>
    <t>顏靖元</t>
  </si>
  <si>
    <t>499510004</t>
  </si>
  <si>
    <t>鄭翔友</t>
  </si>
  <si>
    <t>499510006</t>
  </si>
  <si>
    <t>林澤翔</t>
  </si>
  <si>
    <t>499510008</t>
  </si>
  <si>
    <t>邱瀞慧</t>
    <phoneticPr fontId="3" type="noConversion"/>
  </si>
  <si>
    <t>499510010</t>
  </si>
  <si>
    <t>周欣磁</t>
  </si>
  <si>
    <t>499510012</t>
  </si>
  <si>
    <t>吳定軒</t>
  </si>
  <si>
    <t>499510014</t>
  </si>
  <si>
    <t>陳振輝</t>
  </si>
  <si>
    <t>499510016</t>
  </si>
  <si>
    <t>楊宗諭</t>
  </si>
  <si>
    <t>499510018</t>
  </si>
  <si>
    <t>朱育辰</t>
  </si>
  <si>
    <t>499510020</t>
  </si>
  <si>
    <t>陳欣萍</t>
  </si>
  <si>
    <t>499510022</t>
  </si>
  <si>
    <t>翁　弘</t>
  </si>
  <si>
    <t>499510024</t>
  </si>
  <si>
    <t>陳品蓉</t>
  </si>
  <si>
    <t>499510026</t>
  </si>
  <si>
    <t>劉詠琪</t>
  </si>
  <si>
    <t>499510028</t>
  </si>
  <si>
    <t>鄭允承</t>
  </si>
  <si>
    <t>499510030</t>
  </si>
  <si>
    <t>莊博淵</t>
  </si>
  <si>
    <t>499510032</t>
  </si>
  <si>
    <t>王麒銘</t>
  </si>
  <si>
    <t>499510034</t>
  </si>
  <si>
    <t>包榆安</t>
  </si>
  <si>
    <t>499510038</t>
  </si>
  <si>
    <t>蘇群博</t>
  </si>
  <si>
    <t>499510040</t>
  </si>
  <si>
    <t>陳宛妮</t>
  </si>
  <si>
    <t>499510042</t>
  </si>
  <si>
    <t>黃浩然</t>
  </si>
  <si>
    <t>499510044</t>
  </si>
  <si>
    <t>499510046</t>
  </si>
  <si>
    <t>王韋盛</t>
  </si>
  <si>
    <t>499510048</t>
  </si>
  <si>
    <t>陳志銓</t>
  </si>
  <si>
    <t>499510050</t>
  </si>
  <si>
    <t>陳君浩</t>
  </si>
  <si>
    <t>499510052</t>
  </si>
  <si>
    <t>歐映廷</t>
  </si>
  <si>
    <t>499510056</t>
  </si>
  <si>
    <t>劉宇珊</t>
  </si>
  <si>
    <t>499510058</t>
  </si>
  <si>
    <t>徐柏堯</t>
  </si>
  <si>
    <t>499510060</t>
  </si>
  <si>
    <t>陳浩文</t>
  </si>
  <si>
    <t>499510062</t>
  </si>
  <si>
    <t>賴柏龍</t>
  </si>
  <si>
    <t>499510064</t>
  </si>
  <si>
    <t>王曉瑜</t>
  </si>
  <si>
    <t>499510066</t>
  </si>
  <si>
    <t>商瓈丹</t>
    <phoneticPr fontId="3" type="noConversion"/>
  </si>
  <si>
    <t>499510068</t>
  </si>
  <si>
    <t>黎俊廷</t>
  </si>
  <si>
    <t>499510070</t>
  </si>
  <si>
    <t>閻林群</t>
  </si>
  <si>
    <t>499510072</t>
  </si>
  <si>
    <t>吳琇慧</t>
    <phoneticPr fontId="3" type="noConversion"/>
  </si>
  <si>
    <t>499510074</t>
  </si>
  <si>
    <t>蕭郁雅</t>
  </si>
  <si>
    <t>499510076</t>
  </si>
  <si>
    <t>蕭鉦霖</t>
  </si>
  <si>
    <t>499510078</t>
  </si>
  <si>
    <t>謝忠呈</t>
  </si>
  <si>
    <t>499510080</t>
  </si>
  <si>
    <t>林君佳</t>
  </si>
  <si>
    <t>499510082</t>
  </si>
  <si>
    <t>陳莉晴</t>
  </si>
  <si>
    <t>499510084</t>
  </si>
  <si>
    <t>徐皓哲</t>
    <phoneticPr fontId="3" type="noConversion"/>
  </si>
  <si>
    <t>499510086</t>
  </si>
  <si>
    <t>陳昱錡</t>
  </si>
  <si>
    <t>499510088</t>
  </si>
  <si>
    <t>謝政威</t>
  </si>
  <si>
    <t>499510090</t>
  </si>
  <si>
    <t>施欣汝</t>
  </si>
  <si>
    <t>499510092</t>
  </si>
  <si>
    <t>戴瑀均</t>
  </si>
  <si>
    <t>499510094</t>
  </si>
  <si>
    <t>謝尚諭</t>
  </si>
  <si>
    <t>499510096</t>
  </si>
  <si>
    <t>劉家豪</t>
  </si>
  <si>
    <t>499510098</t>
  </si>
  <si>
    <t>林京穎</t>
  </si>
  <si>
    <t>499510100</t>
  </si>
  <si>
    <t>吳佳柔</t>
  </si>
  <si>
    <t>499510104</t>
  </si>
  <si>
    <t>方　豫</t>
  </si>
  <si>
    <t>張育嘉</t>
    <phoneticPr fontId="3" type="noConversion"/>
  </si>
  <si>
    <r>
      <t>1.為</t>
    </r>
    <r>
      <rPr>
        <sz val="12"/>
        <rFont val="Times New Roman"/>
        <family val="1"/>
      </rPr>
      <t>2010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日校慶開幕式，出席者得一點。</t>
    </r>
    <phoneticPr fontId="3" type="noConversion"/>
  </si>
  <si>
    <r>
      <t>2.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月「青春耀不藥」，出席者得一點。</t>
    </r>
    <phoneticPr fontId="3" type="noConversion"/>
  </si>
  <si>
    <r>
      <t>6.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月「青春耀不藥」，出席者得一點。</t>
    </r>
    <phoneticPr fontId="3" type="noConversion"/>
  </si>
  <si>
    <t>翁霙欽</t>
    <phoneticPr fontId="3" type="noConversion"/>
  </si>
  <si>
    <r>
      <t>7.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月「企業參訪」，出席者得一點。</t>
    </r>
    <phoneticPr fontId="3" type="noConversion"/>
  </si>
  <si>
    <r>
      <t>3.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月「企業參訪」，出席者得一點。</t>
    </r>
    <phoneticPr fontId="3" type="noConversion"/>
  </si>
  <si>
    <t>陳一瑨</t>
    <phoneticPr fontId="3" type="noConversion"/>
  </si>
  <si>
    <t xml:space="preserve"> </t>
    <phoneticPr fontId="3" type="noConversion"/>
  </si>
  <si>
    <t>陳人豪</t>
    <phoneticPr fontId="3" type="noConversion"/>
  </si>
  <si>
    <t>吳筱玟</t>
    <phoneticPr fontId="3" type="noConversion"/>
  </si>
  <si>
    <r>
      <t>5.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日參加企業參訪，出席者得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點。</t>
    </r>
    <phoneticPr fontId="3" type="noConversion"/>
  </si>
  <si>
    <r>
      <t>6.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月「企業參訪」，出席者得一點。</t>
    </r>
    <phoneticPr fontId="3" type="noConversion"/>
  </si>
  <si>
    <t>賴羿彣</t>
    <phoneticPr fontId="3" type="noConversion"/>
  </si>
  <si>
    <t xml:space="preserve">李勁        </t>
  </si>
  <si>
    <t xml:space="preserve">胡羽涵      </t>
  </si>
  <si>
    <t xml:space="preserve">王鈴尹      </t>
  </si>
  <si>
    <t xml:space="preserve">高子洋      </t>
  </si>
  <si>
    <t xml:space="preserve">黃筑筠      </t>
  </si>
  <si>
    <t xml:space="preserve">吳昱賢      </t>
  </si>
  <si>
    <t xml:space="preserve">呂承紘      </t>
  </si>
  <si>
    <t xml:space="preserve">蕭景方      </t>
  </si>
  <si>
    <t xml:space="preserve">賴佳萱      </t>
  </si>
  <si>
    <t xml:space="preserve">陳弘晉      </t>
  </si>
  <si>
    <t xml:space="preserve">游謦亦      </t>
  </si>
  <si>
    <t xml:space="preserve">潘力恆      </t>
  </si>
  <si>
    <t xml:space="preserve">廖名皓      </t>
  </si>
  <si>
    <t xml:space="preserve">黃凱翎      </t>
  </si>
  <si>
    <t xml:space="preserve">洪嘉栩      </t>
  </si>
  <si>
    <t xml:space="preserve">郭恩豪      </t>
  </si>
  <si>
    <t xml:space="preserve">楊朝傑      </t>
  </si>
  <si>
    <t xml:space="preserve">陳柏嘉      </t>
  </si>
  <si>
    <t xml:space="preserve">宋佳儒      </t>
  </si>
  <si>
    <t xml:space="preserve">盧宇虹      </t>
  </si>
  <si>
    <t xml:space="preserve">王譽蓁      </t>
  </si>
  <si>
    <t xml:space="preserve">陳嬿如      </t>
  </si>
  <si>
    <t xml:space="preserve">彭怡娟      </t>
  </si>
  <si>
    <t xml:space="preserve">張哲源      </t>
  </si>
  <si>
    <t xml:space="preserve">張瑀心      </t>
  </si>
  <si>
    <t xml:space="preserve">李帛桓      </t>
  </si>
  <si>
    <t xml:space="preserve">鄭吉良      </t>
  </si>
  <si>
    <t xml:space="preserve">陳亭蒨      </t>
  </si>
  <si>
    <t xml:space="preserve">楊庭瑄      </t>
  </si>
  <si>
    <t xml:space="preserve">林怡吟      </t>
  </si>
  <si>
    <t xml:space="preserve">詹明穎      </t>
  </si>
  <si>
    <t xml:space="preserve">余玟宜      </t>
  </si>
  <si>
    <t xml:space="preserve">楊培筠      </t>
  </si>
  <si>
    <t xml:space="preserve">王昱凱      </t>
  </si>
  <si>
    <t xml:space="preserve">蘇家民      </t>
  </si>
  <si>
    <t xml:space="preserve">歐孟瑋      </t>
  </si>
  <si>
    <t xml:space="preserve">劉宇軒      </t>
  </si>
  <si>
    <t xml:space="preserve">李姿瑜      </t>
  </si>
  <si>
    <t xml:space="preserve">楊子萱      </t>
  </si>
  <si>
    <t xml:space="preserve">吳美誼      </t>
  </si>
  <si>
    <t xml:space="preserve">王汶甄      </t>
  </si>
  <si>
    <t xml:space="preserve">王麗婷      </t>
  </si>
  <si>
    <t xml:space="preserve">杜怡貞      </t>
  </si>
  <si>
    <t xml:space="preserve">林俐廷      </t>
  </si>
  <si>
    <t xml:space="preserve">曹育榤      </t>
  </si>
  <si>
    <t xml:space="preserve">楊　晴      </t>
  </si>
  <si>
    <t xml:space="preserve">鄭嵐遠      </t>
  </si>
  <si>
    <t xml:space="preserve">趙于婷      </t>
  </si>
  <si>
    <t xml:space="preserve">許哲彬      </t>
  </si>
  <si>
    <t xml:space="preserve">方怡雯      </t>
  </si>
  <si>
    <t xml:space="preserve">謝　尚      </t>
  </si>
  <si>
    <t xml:space="preserve">劉孟璋      </t>
  </si>
  <si>
    <t xml:space="preserve">李映姍      </t>
  </si>
  <si>
    <t xml:space="preserve">林子勝      </t>
  </si>
  <si>
    <t xml:space="preserve">胡馨予      </t>
  </si>
  <si>
    <t xml:space="preserve">劉明翰      </t>
  </si>
  <si>
    <t xml:space="preserve">陳亦謙      </t>
  </si>
  <si>
    <t xml:space="preserve">楊士緯      </t>
  </si>
  <si>
    <t xml:space="preserve">李旻暐      </t>
  </si>
  <si>
    <t xml:space="preserve">李宜錦      </t>
  </si>
  <si>
    <t xml:space="preserve">吳曜瑄      </t>
  </si>
  <si>
    <t xml:space="preserve">徐琬貽      </t>
  </si>
  <si>
    <t xml:space="preserve">張君瑋      </t>
  </si>
  <si>
    <t xml:space="preserve">王亭方      </t>
  </si>
  <si>
    <t xml:space="preserve">何恭丞      </t>
  </si>
  <si>
    <t xml:space="preserve">王彥婷      </t>
  </si>
  <si>
    <t xml:space="preserve">林昱昀      </t>
  </si>
  <si>
    <t xml:space="preserve">林其瑩      </t>
  </si>
  <si>
    <t xml:space="preserve">洪千雯      </t>
  </si>
  <si>
    <t xml:space="preserve">郭佳青      </t>
  </si>
  <si>
    <t xml:space="preserve">林正堂      </t>
  </si>
  <si>
    <t xml:space="preserve">張簡勢哲    </t>
  </si>
  <si>
    <t xml:space="preserve">劉芸甄      </t>
  </si>
  <si>
    <r>
      <t>8.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月「企業參訪」，出席者得一點。</t>
    </r>
    <phoneticPr fontId="3" type="noConversion"/>
  </si>
  <si>
    <t>中位數:</t>
    <phoneticPr fontId="3" type="noConversion"/>
  </si>
  <si>
    <r>
      <t>9.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日舉辦「職涯講座」，出席者得一點</t>
    </r>
    <phoneticPr fontId="3" type="noConversion"/>
  </si>
  <si>
    <r>
      <t>4.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日舉辦「職涯講座」，出席者得一點</t>
    </r>
    <phoneticPr fontId="3" type="noConversion"/>
  </si>
  <si>
    <r>
      <t>2.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日舉辦「職涯講座」，出席者得一點</t>
    </r>
    <phoneticPr fontId="3" type="noConversion"/>
  </si>
  <si>
    <r>
      <t>1.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日舉行班會，出席者得一點</t>
    </r>
    <phoneticPr fontId="3" type="noConversion"/>
  </si>
  <si>
    <r>
      <t>目前累積最高點數：</t>
    </r>
    <r>
      <rPr>
        <sz val="12"/>
        <rFont val="Times New Roman"/>
        <family val="1"/>
      </rPr>
      <t xml:space="preserve"> </t>
    </r>
    <phoneticPr fontId="3" type="noConversion"/>
  </si>
  <si>
    <r>
      <t>1.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新細明體"/>
        <family val="1"/>
        <charset val="136"/>
      </rPr>
      <t>日校慶開幕式，出席者得一點。</t>
    </r>
    <phoneticPr fontId="3" type="noConversion"/>
  </si>
  <si>
    <r>
      <t>3.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日參加『青春耀，不藥』活動的同學。</t>
    </r>
    <phoneticPr fontId="3" type="noConversion"/>
  </si>
  <si>
    <r>
      <t>5.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日參加企業參訪，出席者得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點。</t>
    </r>
    <phoneticPr fontId="3" type="noConversion"/>
  </si>
  <si>
    <r>
      <t>6.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月「青春耀不藥」，出席者得一點。</t>
    </r>
    <phoneticPr fontId="3" type="noConversion"/>
  </si>
  <si>
    <r>
      <t>8.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月「企業參訪」，出席者得一點。</t>
    </r>
    <phoneticPr fontId="3" type="noConversion"/>
  </si>
  <si>
    <t>高源廷</t>
    <phoneticPr fontId="3" type="noConversion"/>
  </si>
  <si>
    <t>周育宏</t>
    <phoneticPr fontId="3" type="noConversion"/>
  </si>
  <si>
    <t xml:space="preserve"> </t>
    <phoneticPr fontId="3" type="noConversion"/>
  </si>
  <si>
    <t>李清輝</t>
    <phoneticPr fontId="3" type="noConversion"/>
  </si>
  <si>
    <r>
      <t>10.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日舉辦「菁英競試」初賽，出席者得一點</t>
    </r>
    <phoneticPr fontId="3" type="noConversion"/>
  </si>
  <si>
    <t>于詩涵</t>
    <phoneticPr fontId="3" type="noConversion"/>
  </si>
  <si>
    <r>
      <t>5.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日舉辦「菁英競試」初賽，出席者得一點</t>
    </r>
    <phoneticPr fontId="3" type="noConversion"/>
  </si>
  <si>
    <r>
      <t>3.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日舉辦「菁英競試」初賽，出席者得一點</t>
    </r>
    <phoneticPr fontId="3" type="noConversion"/>
  </si>
  <si>
    <r>
      <t>4.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日舉辦「青春耀不藥」，出席者得一點</t>
    </r>
    <phoneticPr fontId="3" type="noConversion"/>
  </si>
  <si>
    <r>
      <t>11.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30</t>
    </r>
    <r>
      <rPr>
        <sz val="12"/>
        <rFont val="細明體"/>
        <family val="3"/>
        <charset val="136"/>
      </rPr>
      <t>日舉辦「企業參訪」，出席者得一點</t>
    </r>
    <phoneticPr fontId="3" type="noConversion"/>
  </si>
  <si>
    <r>
      <t>6.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30</t>
    </r>
    <r>
      <rPr>
        <sz val="12"/>
        <rFont val="細明體"/>
        <family val="3"/>
        <charset val="136"/>
      </rPr>
      <t>日舉辦「企業參訪」，出席者得一點</t>
    </r>
    <phoneticPr fontId="3" type="noConversion"/>
  </si>
  <si>
    <t xml:space="preserve">蔡恩榮      </t>
  </si>
  <si>
    <t xml:space="preserve">林妤洵      </t>
  </si>
  <si>
    <t xml:space="preserve">廖姿婷      </t>
  </si>
  <si>
    <t xml:space="preserve">張少瑀      </t>
  </si>
  <si>
    <t xml:space="preserve">周育卉      </t>
  </si>
  <si>
    <t xml:space="preserve">吳詩婷      </t>
  </si>
  <si>
    <t xml:space="preserve">李宛靜      </t>
  </si>
  <si>
    <t xml:space="preserve">詹竣棋      </t>
  </si>
  <si>
    <t xml:space="preserve">蔡政舫      </t>
  </si>
  <si>
    <t xml:space="preserve">林彥呈      </t>
  </si>
  <si>
    <t xml:space="preserve">陳家賢      </t>
  </si>
  <si>
    <t xml:space="preserve">林霈琪      </t>
  </si>
  <si>
    <t xml:space="preserve">邱馨儀      </t>
  </si>
  <si>
    <t xml:space="preserve">殷敏禎      </t>
  </si>
  <si>
    <t xml:space="preserve">陳柏瑄      </t>
  </si>
  <si>
    <t xml:space="preserve">楊麒        </t>
  </si>
  <si>
    <t xml:space="preserve">盧嘉明      </t>
  </si>
  <si>
    <t xml:space="preserve">鍾柏然      </t>
  </si>
  <si>
    <t xml:space="preserve">蔡　霖      </t>
  </si>
  <si>
    <t xml:space="preserve">傅明捷      </t>
  </si>
  <si>
    <t xml:space="preserve">張馨云      </t>
  </si>
  <si>
    <t xml:space="preserve">劉家妤      </t>
  </si>
  <si>
    <t xml:space="preserve">連家民      </t>
  </si>
  <si>
    <t xml:space="preserve">陳福利      </t>
  </si>
  <si>
    <t xml:space="preserve">黃詩晴      </t>
  </si>
  <si>
    <t xml:space="preserve">王德平      </t>
  </si>
  <si>
    <t xml:space="preserve">董庭菀      </t>
  </si>
  <si>
    <t xml:space="preserve">羅郁婷      </t>
  </si>
  <si>
    <t xml:space="preserve">張　彤      </t>
  </si>
  <si>
    <t xml:space="preserve">謝欣妤      </t>
  </si>
  <si>
    <t xml:space="preserve">張芮瑄      </t>
  </si>
  <si>
    <t xml:space="preserve">李澄岳      </t>
  </si>
  <si>
    <t xml:space="preserve">羅靖雯      </t>
  </si>
  <si>
    <t xml:space="preserve">陳慧真      </t>
  </si>
  <si>
    <t xml:space="preserve">黃品禎      </t>
  </si>
  <si>
    <t xml:space="preserve">馬敬壹      </t>
  </si>
  <si>
    <t xml:space="preserve">郭　薇      </t>
  </si>
  <si>
    <t xml:space="preserve">黃鈺雯      </t>
  </si>
  <si>
    <t xml:space="preserve">吳亞瑄      </t>
  </si>
  <si>
    <t xml:space="preserve">蔡茹姻      </t>
  </si>
  <si>
    <t xml:space="preserve">田高銘      </t>
  </si>
  <si>
    <t xml:space="preserve">葉珈綾      </t>
  </si>
  <si>
    <t xml:space="preserve">張歆怡      </t>
    <phoneticPr fontId="3" type="noConversion"/>
  </si>
  <si>
    <t xml:space="preserve">王　萱      </t>
  </si>
  <si>
    <t xml:space="preserve">陳玟廷      </t>
  </si>
  <si>
    <t xml:space="preserve">才秉星      </t>
  </si>
  <si>
    <t xml:space="preserve">童彥儒      </t>
  </si>
  <si>
    <t xml:space="preserve">李盈臻      </t>
  </si>
  <si>
    <t xml:space="preserve">李泓文      </t>
  </si>
  <si>
    <t xml:space="preserve">曾倩雯      </t>
  </si>
  <si>
    <t xml:space="preserve">丁讓        </t>
  </si>
  <si>
    <t xml:space="preserve">徐嘉穗      </t>
  </si>
  <si>
    <t xml:space="preserve">胡庭暐      </t>
  </si>
  <si>
    <t xml:space="preserve">潘厚任      </t>
  </si>
  <si>
    <t xml:space="preserve">陳　葦      </t>
  </si>
  <si>
    <t xml:space="preserve">李依純      </t>
  </si>
  <si>
    <t xml:space="preserve">林奕廷      </t>
  </si>
  <si>
    <t xml:space="preserve">李品靚      </t>
  </si>
  <si>
    <t xml:space="preserve">黃靜宜      </t>
  </si>
  <si>
    <t xml:space="preserve">侯進岳      </t>
  </si>
  <si>
    <t xml:space="preserve">王瀞琪      </t>
    <phoneticPr fontId="3" type="noConversion"/>
  </si>
  <si>
    <t xml:space="preserve">周中平      </t>
  </si>
  <si>
    <t xml:space="preserve">賴冠儒      </t>
  </si>
  <si>
    <t xml:space="preserve">林佩穎      </t>
  </si>
  <si>
    <t xml:space="preserve">蘇智祥      </t>
  </si>
  <si>
    <t xml:space="preserve">許嘉承      </t>
  </si>
  <si>
    <t xml:space="preserve">阮政元      </t>
  </si>
  <si>
    <t xml:space="preserve">莊信成      </t>
  </si>
  <si>
    <t xml:space="preserve">施侑杰      </t>
  </si>
  <si>
    <t xml:space="preserve">吳涼鈞      </t>
  </si>
  <si>
    <t xml:space="preserve">劉俞廷      </t>
  </si>
  <si>
    <t xml:space="preserve">李曜陽      </t>
  </si>
  <si>
    <t xml:space="preserve">張鼎承      </t>
  </si>
  <si>
    <t xml:space="preserve">陳紀雅      </t>
  </si>
  <si>
    <t xml:space="preserve">吳　旻      </t>
  </si>
  <si>
    <t xml:space="preserve">莊世顗      </t>
  </si>
  <si>
    <t>陳則安</t>
  </si>
  <si>
    <t>許佳崴</t>
  </si>
  <si>
    <t>彭敬淳</t>
  </si>
  <si>
    <t>楊子嫻</t>
  </si>
  <si>
    <t>張雅然</t>
  </si>
  <si>
    <t>葉雅綸</t>
  </si>
  <si>
    <t>蘇毓晴</t>
  </si>
  <si>
    <t>陳姿穎</t>
  </si>
  <si>
    <t>陳忠彥</t>
  </si>
  <si>
    <t>葉彥含</t>
  </si>
  <si>
    <t>連玥婷</t>
  </si>
  <si>
    <t>吳慧珊</t>
  </si>
  <si>
    <t>劉興國</t>
  </si>
  <si>
    <t>周亭枃</t>
    <phoneticPr fontId="3" type="noConversion"/>
  </si>
  <si>
    <t>1.102年2月22日出席主任召開聯合大班會</t>
    <phoneticPr fontId="3" type="noConversion"/>
  </si>
  <si>
    <t xml:space="preserve">蕭有毅 </t>
    <phoneticPr fontId="3" type="noConversion"/>
  </si>
  <si>
    <t xml:space="preserve">林湯寧 </t>
    <phoneticPr fontId="3" type="noConversion"/>
  </si>
  <si>
    <t xml:space="preserve">楊雨瑄 </t>
    <phoneticPr fontId="3" type="noConversion"/>
  </si>
  <si>
    <t xml:space="preserve">蔡心瑜 </t>
    <phoneticPr fontId="3" type="noConversion"/>
  </si>
  <si>
    <t xml:space="preserve">詹昕芸 </t>
    <phoneticPr fontId="3" type="noConversion"/>
  </si>
  <si>
    <t xml:space="preserve">邱芳怡 </t>
    <phoneticPr fontId="3" type="noConversion"/>
  </si>
  <si>
    <t xml:space="preserve">徐廷瑜 </t>
    <phoneticPr fontId="3" type="noConversion"/>
  </si>
  <si>
    <t xml:space="preserve">林季萱 </t>
    <phoneticPr fontId="3" type="noConversion"/>
  </si>
  <si>
    <t xml:space="preserve">蘇中望 </t>
    <phoneticPr fontId="3" type="noConversion"/>
  </si>
  <si>
    <t>陳冠志</t>
    <phoneticPr fontId="3" type="noConversion"/>
  </si>
  <si>
    <t>賴韋安</t>
    <phoneticPr fontId="3" type="noConversion"/>
  </si>
  <si>
    <t xml:space="preserve">蔡侑東 </t>
    <phoneticPr fontId="3" type="noConversion"/>
  </si>
  <si>
    <t xml:space="preserve">張亦昀 </t>
    <phoneticPr fontId="3" type="noConversion"/>
  </si>
  <si>
    <t xml:space="preserve">張家瑋 </t>
    <phoneticPr fontId="3" type="noConversion"/>
  </si>
  <si>
    <t>曾珮年</t>
    <phoneticPr fontId="3" type="noConversion"/>
  </si>
  <si>
    <t xml:space="preserve">謝季旻 </t>
    <phoneticPr fontId="3" type="noConversion"/>
  </si>
  <si>
    <t>鄞靚宜</t>
    <phoneticPr fontId="3" type="noConversion"/>
  </si>
  <si>
    <t xml:space="preserve">洪聖喻 </t>
    <phoneticPr fontId="3" type="noConversion"/>
  </si>
  <si>
    <t xml:space="preserve">陳筑筠 </t>
    <phoneticPr fontId="3" type="noConversion"/>
  </si>
  <si>
    <t>黃鉦傑</t>
    <phoneticPr fontId="3" type="noConversion"/>
  </si>
  <si>
    <t>陳廷宇</t>
    <phoneticPr fontId="3" type="noConversion"/>
  </si>
  <si>
    <t xml:space="preserve">林威廷 </t>
    <phoneticPr fontId="3" type="noConversion"/>
  </si>
  <si>
    <t xml:space="preserve">何浩元 </t>
    <phoneticPr fontId="3" type="noConversion"/>
  </si>
  <si>
    <t xml:space="preserve">黃怡禎      </t>
    <phoneticPr fontId="3" type="noConversion"/>
  </si>
  <si>
    <t xml:space="preserve">梁家安  </t>
    <phoneticPr fontId="3" type="noConversion"/>
  </si>
  <si>
    <t xml:space="preserve">詹順安  </t>
    <phoneticPr fontId="3" type="noConversion"/>
  </si>
  <si>
    <t xml:space="preserve">王浩承  </t>
    <phoneticPr fontId="3" type="noConversion"/>
  </si>
  <si>
    <t xml:space="preserve">邱芸慧 </t>
    <phoneticPr fontId="3" type="noConversion"/>
  </si>
  <si>
    <t xml:space="preserve">林侑幸  </t>
    <phoneticPr fontId="3" type="noConversion"/>
  </si>
  <si>
    <t xml:space="preserve">謝沛容  </t>
    <phoneticPr fontId="3" type="noConversion"/>
  </si>
  <si>
    <t xml:space="preserve">張筑硯  </t>
    <phoneticPr fontId="3" type="noConversion"/>
  </si>
  <si>
    <t xml:space="preserve">朱晉  </t>
    <phoneticPr fontId="3" type="noConversion"/>
  </si>
  <si>
    <t xml:space="preserve">蘇建瑋  </t>
    <phoneticPr fontId="3" type="noConversion"/>
  </si>
  <si>
    <t xml:space="preserve">陳嘉偉  </t>
    <phoneticPr fontId="3" type="noConversion"/>
  </si>
  <si>
    <t xml:space="preserve">鄭朝元  </t>
    <phoneticPr fontId="3" type="noConversion"/>
  </si>
  <si>
    <t xml:space="preserve">丁捷軒  </t>
    <phoneticPr fontId="3" type="noConversion"/>
  </si>
  <si>
    <t xml:space="preserve">蔡尚樺  </t>
    <phoneticPr fontId="3" type="noConversion"/>
  </si>
  <si>
    <t xml:space="preserve">鍾明諺  </t>
    <phoneticPr fontId="3" type="noConversion"/>
  </si>
  <si>
    <t xml:space="preserve">陳昱愷  </t>
    <phoneticPr fontId="3" type="noConversion"/>
  </si>
  <si>
    <t xml:space="preserve">周書敬  </t>
    <phoneticPr fontId="3" type="noConversion"/>
  </si>
  <si>
    <t xml:space="preserve">孫祥仁  </t>
    <phoneticPr fontId="3" type="noConversion"/>
  </si>
  <si>
    <t xml:space="preserve">李永元  </t>
    <phoneticPr fontId="3" type="noConversion"/>
  </si>
  <si>
    <t xml:space="preserve">鍾孟豪  </t>
    <phoneticPr fontId="3" type="noConversion"/>
  </si>
  <si>
    <t xml:space="preserve">曾琬婷  </t>
    <phoneticPr fontId="3" type="noConversion"/>
  </si>
  <si>
    <r>
      <t>5.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2012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30</t>
    </r>
    <r>
      <rPr>
        <sz val="12"/>
        <rFont val="細明體"/>
        <family val="3"/>
        <charset val="136"/>
      </rPr>
      <t>日舉辦「企業參訪」，出席者得一點</t>
    </r>
    <phoneticPr fontId="3" type="noConversion"/>
  </si>
  <si>
    <r>
      <t>6.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日舉辦「青春耀不藥」，出席者得一點</t>
    </r>
    <phoneticPr fontId="3" type="noConversion"/>
  </si>
  <si>
    <t>7.為2013年5月24日舉辦「企業參訪」，出席者得一點</t>
    <phoneticPr fontId="3" type="noConversion"/>
  </si>
  <si>
    <t>2.為2013年5月24日舉辦「企業參訪」，出席者得一點</t>
    <phoneticPr fontId="3" type="noConversion"/>
  </si>
  <si>
    <r>
      <t>12.</t>
    </r>
    <r>
      <rPr>
        <sz val="12"/>
        <rFont val="細明體"/>
        <family val="3"/>
        <charset val="136"/>
      </rPr>
      <t>為</t>
    </r>
    <r>
      <rPr>
        <sz val="12"/>
        <rFont val="Times New Roman"/>
        <family val="1"/>
      </rPr>
      <t>2013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24</t>
    </r>
    <r>
      <rPr>
        <sz val="12"/>
        <rFont val="細明體"/>
        <family val="3"/>
        <charset val="136"/>
      </rPr>
      <t>日舉辦「企業參訪」，出席者得一點</t>
    </r>
    <phoneticPr fontId="3" type="noConversion"/>
  </si>
  <si>
    <r>
      <t>7.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日舉辦「青春耀不藥」，出席者得一點</t>
    </r>
    <phoneticPr fontId="3" type="noConversion"/>
  </si>
  <si>
    <r>
      <t>8.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24</t>
    </r>
    <r>
      <rPr>
        <sz val="12"/>
        <rFont val="新細明體"/>
        <family val="1"/>
        <charset val="136"/>
      </rPr>
      <t>日舉辦「企業參訪」，出席者得一點</t>
    </r>
    <phoneticPr fontId="3" type="noConversion"/>
  </si>
  <si>
    <t>賴育偉</t>
    <phoneticPr fontId="3" type="noConversion"/>
  </si>
  <si>
    <r>
      <t>8.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r>
      <rPr>
        <sz val="12"/>
        <rFont val="新細明體"/>
        <family val="1"/>
        <charset val="136"/>
      </rPr>
      <t>舉辦「職涯講座」，出席者得一點</t>
    </r>
    <phoneticPr fontId="3" type="noConversion"/>
  </si>
  <si>
    <t>戴千晴</t>
  </si>
  <si>
    <t>貝可林</t>
  </si>
  <si>
    <t>張芫綺</t>
    <phoneticPr fontId="3" type="noConversion"/>
  </si>
  <si>
    <t>王旭東</t>
  </si>
  <si>
    <t>郭倢妤</t>
  </si>
  <si>
    <t>張硯綸</t>
  </si>
  <si>
    <t>廖晏聖</t>
  </si>
  <si>
    <t>吳蕙吟</t>
  </si>
  <si>
    <t>周　延</t>
  </si>
  <si>
    <t>謝維櫻</t>
  </si>
  <si>
    <t>彭柏邑</t>
  </si>
  <si>
    <t>陳妤媗</t>
  </si>
  <si>
    <t>黃珮倫</t>
  </si>
  <si>
    <t>林雅惠</t>
  </si>
  <si>
    <t>陳能星</t>
  </si>
  <si>
    <t>林育賢</t>
  </si>
  <si>
    <t>林昱秀</t>
  </si>
  <si>
    <t>劉其鑫</t>
  </si>
  <si>
    <t>袁雅溱</t>
  </si>
  <si>
    <t>高瑋敏</t>
  </si>
  <si>
    <t>黃晨芸</t>
  </si>
  <si>
    <t>林羽貞</t>
  </si>
  <si>
    <t>李蕙心</t>
  </si>
  <si>
    <t>方明旋</t>
  </si>
  <si>
    <t>蔡佳妤</t>
  </si>
  <si>
    <t>黃閔婕</t>
  </si>
  <si>
    <t>李育昕</t>
  </si>
  <si>
    <t>劉端雅</t>
  </si>
  <si>
    <t>林冠羽</t>
  </si>
  <si>
    <t>李瑞祥</t>
  </si>
  <si>
    <t>江昀晏</t>
  </si>
  <si>
    <t>洪佳宜</t>
  </si>
  <si>
    <t>唐祖軒</t>
  </si>
  <si>
    <t>盧　毅</t>
  </si>
  <si>
    <t>吉彥杰</t>
  </si>
  <si>
    <t>葉庭佑</t>
  </si>
  <si>
    <t>王怡鈞</t>
  </si>
  <si>
    <t>詹育昇</t>
  </si>
  <si>
    <t>陳奕如</t>
  </si>
  <si>
    <t>楊城維</t>
  </si>
  <si>
    <t>黃予謙</t>
  </si>
  <si>
    <t>盧士弘</t>
  </si>
  <si>
    <t>簡秀真</t>
  </si>
  <si>
    <t>張郁晨</t>
  </si>
  <si>
    <t>張心緣</t>
  </si>
  <si>
    <t>陳安琦</t>
  </si>
  <si>
    <t>蔡宗穎</t>
  </si>
  <si>
    <t>潘秉宏</t>
  </si>
  <si>
    <t>林筱倩</t>
  </si>
  <si>
    <t>徐德芬</t>
  </si>
  <si>
    <t>賴育駿</t>
  </si>
  <si>
    <t>劉芳妘</t>
  </si>
  <si>
    <t>黃柏誌</t>
  </si>
  <si>
    <t>李相儒</t>
  </si>
  <si>
    <t>陳冠筑</t>
  </si>
  <si>
    <t>陳禹伶</t>
  </si>
  <si>
    <t>林怡均</t>
  </si>
  <si>
    <t>廖珮涵</t>
  </si>
  <si>
    <t>李心綸</t>
  </si>
  <si>
    <t>莊雅筑</t>
  </si>
  <si>
    <t>陳姿蓉</t>
  </si>
  <si>
    <t>蔡如茵</t>
  </si>
  <si>
    <t>林孟蓉</t>
  </si>
  <si>
    <t>謝易耘</t>
  </si>
  <si>
    <t>李欣慧</t>
  </si>
  <si>
    <t>陳立璇</t>
  </si>
  <si>
    <t>鍾彧寧</t>
  </si>
  <si>
    <t>張鈞普</t>
  </si>
  <si>
    <t>林詠芸</t>
  </si>
  <si>
    <t>胡致培</t>
  </si>
  <si>
    <t>石如玉</t>
  </si>
  <si>
    <t>方瑞玲</t>
  </si>
  <si>
    <t>陳衣玲</t>
  </si>
  <si>
    <t>陳品璇</t>
  </si>
  <si>
    <t>蕭暘倫</t>
  </si>
  <si>
    <t>林嘉揚</t>
  </si>
  <si>
    <t>簡榮亮</t>
  </si>
  <si>
    <t>李昱德</t>
  </si>
  <si>
    <t>周卲龍</t>
  </si>
  <si>
    <t>吳若瑜</t>
  </si>
  <si>
    <t>林昱辰</t>
  </si>
  <si>
    <t>呂名舜</t>
  </si>
  <si>
    <t>簡湘澤</t>
  </si>
  <si>
    <t>林詩庭</t>
  </si>
  <si>
    <t>李祖儀</t>
  </si>
  <si>
    <t>黃淳銘</t>
  </si>
  <si>
    <t>孫　庠</t>
  </si>
  <si>
    <t>江奇恩</t>
  </si>
  <si>
    <t>胡琇筑</t>
  </si>
  <si>
    <t>李祐同</t>
  </si>
  <si>
    <t>陳冠伶</t>
  </si>
  <si>
    <t>李佩軒</t>
  </si>
  <si>
    <t>廖彥晴</t>
  </si>
  <si>
    <t>梁文宣</t>
  </si>
  <si>
    <t>鍾明瑄</t>
  </si>
  <si>
    <t>王善揚</t>
  </si>
  <si>
    <t>許伯勳</t>
  </si>
  <si>
    <t>黃琪文</t>
  </si>
  <si>
    <t>何文揚</t>
  </si>
  <si>
    <t>黃婷婷</t>
  </si>
  <si>
    <t>3.102年12月6日參加[企業參訪]</t>
    <phoneticPr fontId="3" type="noConversion"/>
  </si>
  <si>
    <r>
      <t>9.102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日參加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企業參訪</t>
    </r>
    <r>
      <rPr>
        <sz val="12"/>
        <rFont val="Times New Roman"/>
        <family val="1"/>
      </rPr>
      <t>]</t>
    </r>
    <phoneticPr fontId="3" type="noConversion"/>
  </si>
  <si>
    <r>
      <t>9.102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日參加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企業參訪</t>
    </r>
    <r>
      <rPr>
        <sz val="12"/>
        <rFont val="Times New Roman"/>
        <family val="1"/>
      </rPr>
      <t>]</t>
    </r>
    <phoneticPr fontId="3" type="noConversion"/>
  </si>
  <si>
    <t>陳坤佑</t>
  </si>
  <si>
    <t>吳孟家</t>
  </si>
  <si>
    <t>陳重企</t>
  </si>
  <si>
    <t>李孟軒</t>
  </si>
  <si>
    <t>廖育羚</t>
  </si>
  <si>
    <t>鄭智文</t>
  </si>
  <si>
    <t>黃冠瑜</t>
  </si>
  <si>
    <t>羅晨華</t>
  </si>
  <si>
    <t>10.103年3月7日參加「職涯講座」</t>
    <phoneticPr fontId="3" type="noConversion"/>
  </si>
  <si>
    <r>
      <t>10.103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日參加「職涯講座」</t>
    </r>
    <phoneticPr fontId="3" type="noConversion"/>
  </si>
  <si>
    <r>
      <t>13.103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7</t>
    </r>
    <r>
      <rPr>
        <sz val="12"/>
        <rFont val="細明體"/>
        <family val="3"/>
        <charset val="136"/>
      </rPr>
      <t>日參加「職涯講座」</t>
    </r>
    <phoneticPr fontId="3" type="noConversion"/>
  </si>
  <si>
    <t>4.103年5月7日參加「青春耀不藥」</t>
    <phoneticPr fontId="3" type="noConversion"/>
  </si>
  <si>
    <t>11.103年5月7日參加「青春耀不藥」</t>
    <phoneticPr fontId="3" type="noConversion"/>
  </si>
  <si>
    <t>5.103年5月16日參加「企業參訪」</t>
    <phoneticPr fontId="3" type="noConversion"/>
  </si>
  <si>
    <t>12.103年5月16日參加「企業參訪」</t>
    <phoneticPr fontId="3" type="noConversion"/>
  </si>
  <si>
    <r>
      <t>11.103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參加「企業參訪」</t>
    </r>
    <phoneticPr fontId="3" type="noConversion"/>
  </si>
  <si>
    <t>蔡憶安</t>
    <phoneticPr fontId="3" type="noConversion"/>
  </si>
  <si>
    <t>張逸珊</t>
    <phoneticPr fontId="3" type="noConversion"/>
  </si>
  <si>
    <t>彭建勳</t>
    <phoneticPr fontId="3" type="noConversion"/>
  </si>
  <si>
    <t xml:space="preserve"> </t>
    <phoneticPr fontId="3" type="noConversion"/>
  </si>
  <si>
    <t>劉育嘉</t>
  </si>
  <si>
    <t>吳柏萱</t>
  </si>
  <si>
    <t>王遐君</t>
  </si>
  <si>
    <t>吳濡安</t>
  </si>
  <si>
    <t>中位數</t>
    <phoneticPr fontId="3" type="noConversion"/>
  </si>
  <si>
    <t>張郁嘉</t>
    <phoneticPr fontId="3" type="noConversion"/>
  </si>
  <si>
    <t>6.103年11月14日參加「職涯講座」</t>
    <phoneticPr fontId="3" type="noConversion"/>
  </si>
  <si>
    <t>13.103年11月15日參加「職涯講座」</t>
    <phoneticPr fontId="3" type="noConversion"/>
  </si>
  <si>
    <t>林怡君</t>
    <phoneticPr fontId="3" type="noConversion"/>
  </si>
  <si>
    <r>
      <t>14.</t>
    </r>
    <r>
      <rPr>
        <sz val="12"/>
        <rFont val="新細明體"/>
        <family val="1"/>
        <charset val="136"/>
      </rPr>
      <t>為</t>
    </r>
    <r>
      <rPr>
        <sz val="12"/>
        <rFont val="Times New Roman"/>
        <family val="1"/>
      </rPr>
      <t>2015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新細明體"/>
        <family val="1"/>
        <charset val="136"/>
      </rPr>
      <t>日舉辦「職涯講座」，出席者得一點</t>
    </r>
    <phoneticPr fontId="3" type="noConversion"/>
  </si>
  <si>
    <r>
      <t>7.2015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新細明體"/>
        <family val="1"/>
        <charset val="136"/>
      </rPr>
      <t>日舉辦「職涯講座」，出席者得一點</t>
    </r>
    <phoneticPr fontId="3" type="noConversion"/>
  </si>
  <si>
    <r>
      <t>8.2015</t>
    </r>
    <r>
      <rPr>
        <sz val="12"/>
        <rFont val="新細明體"/>
        <family val="1"/>
        <charset val="136"/>
      </rPr>
      <t>年5月1日舉辦「職涯講座」，出席者得一點</t>
    </r>
    <phoneticPr fontId="3" type="noConversion"/>
  </si>
  <si>
    <r>
      <t>15.2015</t>
    </r>
    <r>
      <rPr>
        <sz val="12"/>
        <rFont val="新細明體"/>
        <family val="1"/>
        <charset val="136"/>
      </rPr>
      <t>年5月1日舉辦「職涯講座」，出席者得一點</t>
    </r>
    <phoneticPr fontId="3" type="noConversion"/>
  </si>
  <si>
    <r>
      <t>1.102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23</t>
    </r>
    <r>
      <rPr>
        <sz val="12"/>
        <rFont val="新細明體"/>
        <family val="1"/>
        <charset val="136"/>
      </rPr>
      <t>日召開聯合大班會</t>
    </r>
    <phoneticPr fontId="3" type="noConversion"/>
  </si>
  <si>
    <r>
      <t>2.102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日參加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企業參訪</t>
    </r>
    <r>
      <rPr>
        <sz val="12"/>
        <rFont val="Times New Roman"/>
        <family val="1"/>
      </rPr>
      <t>]</t>
    </r>
    <phoneticPr fontId="3" type="noConversion"/>
  </si>
  <si>
    <r>
      <t>3.103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日參加「職涯講座」</t>
    </r>
    <phoneticPr fontId="3" type="noConversion"/>
  </si>
  <si>
    <r>
      <t>4.103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日召開班會</t>
    </r>
    <phoneticPr fontId="3" type="noConversion"/>
  </si>
  <si>
    <r>
      <t>5.103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日參加「企業參訪」</t>
    </r>
    <phoneticPr fontId="3" type="noConversion"/>
  </si>
  <si>
    <r>
      <t>8.105/12/9</t>
    </r>
    <r>
      <rPr>
        <sz val="12"/>
        <rFont val="新細明體"/>
        <family val="1"/>
        <charset val="136"/>
      </rPr>
      <t>參加企業參訪</t>
    </r>
    <phoneticPr fontId="3" type="noConversion"/>
  </si>
  <si>
    <r>
      <t>10.10501</t>
    </r>
    <r>
      <rPr>
        <sz val="12"/>
        <rFont val="新細明體"/>
        <family val="1"/>
        <charset val="136"/>
      </rPr>
      <t>學期參加「職涯講座」</t>
    </r>
    <phoneticPr fontId="3" type="noConversion"/>
  </si>
  <si>
    <t>徐偉珂</t>
    <phoneticPr fontId="3" type="noConversion"/>
  </si>
  <si>
    <t>王紹宇</t>
  </si>
  <si>
    <t>林彧瑋</t>
  </si>
  <si>
    <t>朱柏豪</t>
  </si>
  <si>
    <t>王志堯</t>
  </si>
  <si>
    <r>
      <t>9.10501</t>
    </r>
    <r>
      <rPr>
        <sz val="12"/>
        <rFont val="新細明體"/>
        <family val="1"/>
        <charset val="136"/>
      </rPr>
      <t>學期參加「職涯講座」</t>
    </r>
    <phoneticPr fontId="3" type="noConversion"/>
  </si>
  <si>
    <r>
      <t>6.2015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新細明體"/>
        <family val="1"/>
        <charset val="136"/>
      </rPr>
      <t>日舉辦「職涯講座」</t>
    </r>
    <phoneticPr fontId="3" type="noConversion"/>
  </si>
  <si>
    <r>
      <t>7.2015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日舉辦「職涯講座」</t>
    </r>
    <phoneticPr fontId="3" type="noConversion"/>
  </si>
  <si>
    <r>
      <t>9.10501</t>
    </r>
    <r>
      <rPr>
        <sz val="12"/>
        <rFont val="新細明體"/>
        <family val="1"/>
        <charset val="136"/>
      </rPr>
      <t>學期參加「企業講座」</t>
    </r>
    <phoneticPr fontId="3" type="noConversion"/>
  </si>
  <si>
    <r>
      <rPr>
        <sz val="12"/>
        <rFont val="Times"/>
        <family val="1"/>
      </rPr>
      <t>11.10502</t>
    </r>
    <r>
      <rPr>
        <sz val="12"/>
        <rFont val="新細明體"/>
        <family val="1"/>
        <charset val="136"/>
      </rPr>
      <t>學期參加「職涯講座」</t>
    </r>
    <phoneticPr fontId="3" type="noConversion"/>
  </si>
  <si>
    <r>
      <rPr>
        <sz val="12"/>
        <rFont val="Times"/>
        <family val="1"/>
      </rPr>
      <t>10.10502</t>
    </r>
    <r>
      <rPr>
        <sz val="12"/>
        <rFont val="新細明體"/>
        <family val="1"/>
        <charset val="136"/>
      </rPr>
      <t>學期參加「職涯講座」</t>
    </r>
    <phoneticPr fontId="3" type="noConversion"/>
  </si>
  <si>
    <t>1.106.10.28</t>
    <phoneticPr fontId="3" type="noConversion"/>
  </si>
  <si>
    <t>13.106/12/08參加企業參訪</t>
    <phoneticPr fontId="3" type="noConversion"/>
  </si>
  <si>
    <t>蘇余欣</t>
  </si>
  <si>
    <t>張晨瀚</t>
  </si>
  <si>
    <t>蔡盛竹</t>
  </si>
  <si>
    <r>
      <rPr>
        <sz val="12"/>
        <rFont val="新細明體"/>
        <family val="1"/>
        <charset val="136"/>
      </rPr>
      <t>學號</t>
    </r>
  </si>
  <si>
    <r>
      <rPr>
        <sz val="12"/>
        <rFont val="新細明體"/>
        <family val="1"/>
        <charset val="136"/>
      </rPr>
      <t>學生姓名</t>
    </r>
  </si>
  <si>
    <r>
      <rPr>
        <sz val="12"/>
        <rFont val="新細明體"/>
        <family val="1"/>
        <charset val="136"/>
      </rPr>
      <t>陳華嚴</t>
    </r>
  </si>
  <si>
    <r>
      <rPr>
        <sz val="12"/>
        <rFont val="新細明體"/>
        <family val="1"/>
        <charset val="136"/>
      </rPr>
      <t>林致昕</t>
    </r>
  </si>
  <si>
    <r>
      <rPr>
        <sz val="12"/>
        <rFont val="新細明體"/>
        <family val="1"/>
        <charset val="136"/>
      </rPr>
      <t>賴威廷</t>
    </r>
  </si>
  <si>
    <r>
      <rPr>
        <sz val="12"/>
        <rFont val="新細明體"/>
        <family val="1"/>
        <charset val="136"/>
      </rPr>
      <t>陳定廉</t>
    </r>
  </si>
  <si>
    <r>
      <rPr>
        <sz val="12"/>
        <rFont val="新細明體"/>
        <family val="1"/>
        <charset val="136"/>
      </rPr>
      <t>趙冠鈞</t>
    </r>
  </si>
  <si>
    <r>
      <rPr>
        <sz val="12"/>
        <rFont val="新細明體"/>
        <family val="1"/>
        <charset val="136"/>
      </rPr>
      <t>吳孟竹</t>
    </r>
  </si>
  <si>
    <r>
      <rPr>
        <sz val="12"/>
        <rFont val="新細明體"/>
        <family val="1"/>
        <charset val="136"/>
      </rPr>
      <t>葉子良</t>
    </r>
  </si>
  <si>
    <r>
      <rPr>
        <sz val="12"/>
        <rFont val="新細明體"/>
        <family val="1"/>
        <charset val="136"/>
      </rPr>
      <t>連品鈞</t>
    </r>
    <phoneticPr fontId="3" type="noConversion"/>
  </si>
  <si>
    <r>
      <rPr>
        <sz val="12"/>
        <rFont val="新細明體"/>
        <family val="1"/>
        <charset val="136"/>
      </rPr>
      <t>林揚竣</t>
    </r>
  </si>
  <si>
    <r>
      <rPr>
        <sz val="12"/>
        <rFont val="新細明體"/>
        <family val="1"/>
        <charset val="136"/>
      </rPr>
      <t>張敬威</t>
    </r>
  </si>
  <si>
    <r>
      <rPr>
        <sz val="12"/>
        <rFont val="新細明體"/>
        <family val="1"/>
        <charset val="136"/>
      </rPr>
      <t>李艾樺</t>
    </r>
  </si>
  <si>
    <r>
      <rPr>
        <sz val="12"/>
        <rFont val="新細明體"/>
        <family val="1"/>
        <charset val="136"/>
      </rPr>
      <t>林靖凱</t>
    </r>
  </si>
  <si>
    <r>
      <rPr>
        <sz val="12"/>
        <rFont val="新細明體"/>
        <family val="1"/>
        <charset val="136"/>
      </rPr>
      <t>鍾　鳴</t>
    </r>
    <phoneticPr fontId="3" type="noConversion"/>
  </si>
  <si>
    <r>
      <rPr>
        <sz val="12"/>
        <rFont val="新細明體"/>
        <family val="1"/>
        <charset val="136"/>
      </rPr>
      <t>林宜慧</t>
    </r>
  </si>
  <si>
    <r>
      <rPr>
        <sz val="12"/>
        <rFont val="新細明體"/>
        <family val="1"/>
        <charset val="136"/>
      </rPr>
      <t>鄭崇彣</t>
    </r>
    <phoneticPr fontId="3" type="noConversion"/>
  </si>
  <si>
    <r>
      <rPr>
        <sz val="12"/>
        <rFont val="新細明體"/>
        <family val="1"/>
        <charset val="136"/>
      </rPr>
      <t>黃振凱</t>
    </r>
  </si>
  <si>
    <r>
      <rPr>
        <sz val="12"/>
        <rFont val="新細明體"/>
        <family val="1"/>
        <charset val="136"/>
      </rPr>
      <t>張耕嘉</t>
    </r>
  </si>
  <si>
    <r>
      <rPr>
        <sz val="12"/>
        <rFont val="新細明體"/>
        <family val="1"/>
        <charset val="136"/>
      </rPr>
      <t>黃籍民</t>
    </r>
  </si>
  <si>
    <r>
      <rPr>
        <sz val="12"/>
        <rFont val="新細明體"/>
        <family val="1"/>
        <charset val="136"/>
      </rPr>
      <t>李家銘</t>
    </r>
    <phoneticPr fontId="3" type="noConversion"/>
  </si>
  <si>
    <r>
      <rPr>
        <sz val="12"/>
        <rFont val="新細明體"/>
        <family val="1"/>
        <charset val="136"/>
      </rPr>
      <t>高宣宸</t>
    </r>
    <phoneticPr fontId="3" type="noConversion"/>
  </si>
  <si>
    <r>
      <rPr>
        <sz val="12"/>
        <rFont val="新細明體"/>
        <family val="1"/>
        <charset val="136"/>
      </rPr>
      <t>林嚴甫</t>
    </r>
  </si>
  <si>
    <r>
      <rPr>
        <sz val="12"/>
        <rFont val="新細明體"/>
        <family val="1"/>
        <charset val="136"/>
      </rPr>
      <t>李冠緯</t>
    </r>
  </si>
  <si>
    <r>
      <rPr>
        <sz val="12"/>
        <rFont val="新細明體"/>
        <family val="1"/>
        <charset val="136"/>
      </rPr>
      <t>陳羿蓁</t>
    </r>
  </si>
  <si>
    <r>
      <rPr>
        <sz val="12"/>
        <rFont val="新細明體"/>
        <family val="1"/>
        <charset val="136"/>
      </rPr>
      <t>王芷菱</t>
    </r>
  </si>
  <si>
    <r>
      <rPr>
        <sz val="12"/>
        <rFont val="新細明體"/>
        <family val="1"/>
        <charset val="136"/>
      </rPr>
      <t>賴云評</t>
    </r>
  </si>
  <si>
    <r>
      <rPr>
        <sz val="12"/>
        <rFont val="新細明體"/>
        <family val="1"/>
        <charset val="136"/>
      </rPr>
      <t>林楷蓁</t>
    </r>
  </si>
  <si>
    <r>
      <rPr>
        <sz val="12"/>
        <rFont val="新細明體"/>
        <family val="1"/>
        <charset val="136"/>
      </rPr>
      <t>吳松奕</t>
    </r>
  </si>
  <si>
    <r>
      <rPr>
        <sz val="12"/>
        <rFont val="新細明體"/>
        <family val="1"/>
        <charset val="136"/>
      </rPr>
      <t>賴奕璇</t>
    </r>
  </si>
  <si>
    <r>
      <rPr>
        <sz val="12"/>
        <rFont val="新細明體"/>
        <family val="1"/>
        <charset val="136"/>
      </rPr>
      <t>賴紫凝</t>
    </r>
  </si>
  <si>
    <r>
      <rPr>
        <sz val="12"/>
        <rFont val="新細明體"/>
        <family val="1"/>
        <charset val="136"/>
      </rPr>
      <t>江霈瓀</t>
    </r>
  </si>
  <si>
    <r>
      <rPr>
        <sz val="12"/>
        <rFont val="新細明體"/>
        <family val="1"/>
        <charset val="136"/>
      </rPr>
      <t>蔡亞庭</t>
    </r>
  </si>
  <si>
    <r>
      <rPr>
        <sz val="12"/>
        <rFont val="新細明體"/>
        <family val="1"/>
        <charset val="136"/>
      </rPr>
      <t>曾唯愷</t>
    </r>
  </si>
  <si>
    <r>
      <rPr>
        <sz val="12"/>
        <rFont val="新細明體"/>
        <family val="1"/>
        <charset val="136"/>
      </rPr>
      <t>徐培鈞</t>
    </r>
  </si>
  <si>
    <r>
      <rPr>
        <sz val="12"/>
        <rFont val="新細明體"/>
        <family val="1"/>
        <charset val="136"/>
      </rPr>
      <t>魏紹倫</t>
    </r>
  </si>
  <si>
    <r>
      <rPr>
        <sz val="12"/>
        <rFont val="新細明體"/>
        <family val="1"/>
        <charset val="136"/>
      </rPr>
      <t>林文瑜</t>
    </r>
  </si>
  <si>
    <r>
      <rPr>
        <sz val="12"/>
        <rFont val="新細明體"/>
        <family val="1"/>
        <charset val="136"/>
      </rPr>
      <t>郭源鴻</t>
    </r>
  </si>
  <si>
    <r>
      <rPr>
        <sz val="12"/>
        <rFont val="新細明體"/>
        <family val="1"/>
        <charset val="136"/>
      </rPr>
      <t>賴泓諭</t>
    </r>
  </si>
  <si>
    <r>
      <rPr>
        <sz val="12"/>
        <rFont val="新細明體"/>
        <family val="1"/>
        <charset val="136"/>
      </rPr>
      <t>王姿璇</t>
    </r>
  </si>
  <si>
    <r>
      <rPr>
        <sz val="12"/>
        <rFont val="新細明體"/>
        <family val="1"/>
        <charset val="136"/>
      </rPr>
      <t>莊羽婷</t>
    </r>
  </si>
  <si>
    <r>
      <rPr>
        <sz val="12"/>
        <rFont val="新細明體"/>
        <family val="1"/>
        <charset val="136"/>
      </rPr>
      <t>阮偉勛</t>
    </r>
    <phoneticPr fontId="3" type="noConversion"/>
  </si>
  <si>
    <r>
      <rPr>
        <sz val="12"/>
        <rFont val="新細明體"/>
        <family val="1"/>
        <charset val="136"/>
      </rPr>
      <t>童傳陞</t>
    </r>
  </si>
  <si>
    <r>
      <rPr>
        <sz val="12"/>
        <rFont val="新細明體"/>
        <family val="1"/>
        <charset val="136"/>
      </rPr>
      <t>陳泓文</t>
    </r>
    <phoneticPr fontId="3" type="noConversion"/>
  </si>
  <si>
    <r>
      <rPr>
        <sz val="12"/>
        <rFont val="新細明體"/>
        <family val="1"/>
        <charset val="136"/>
      </rPr>
      <t>高嬋娟</t>
    </r>
    <phoneticPr fontId="3" type="noConversion"/>
  </si>
  <si>
    <r>
      <rPr>
        <sz val="12"/>
        <rFont val="新細明體"/>
        <family val="1"/>
        <charset val="136"/>
      </rPr>
      <t>張凱淩</t>
    </r>
  </si>
  <si>
    <r>
      <rPr>
        <sz val="12"/>
        <rFont val="新細明體"/>
        <family val="1"/>
        <charset val="136"/>
      </rPr>
      <t>吳彩琳</t>
    </r>
  </si>
  <si>
    <r>
      <rPr>
        <sz val="12"/>
        <rFont val="新細明體"/>
        <family val="1"/>
        <charset val="136"/>
      </rPr>
      <t>高齊廷</t>
    </r>
  </si>
  <si>
    <r>
      <rPr>
        <sz val="12"/>
        <rFont val="新細明體"/>
        <family val="1"/>
        <charset val="136"/>
      </rPr>
      <t>郭佳欣</t>
    </r>
  </si>
  <si>
    <r>
      <rPr>
        <sz val="12"/>
        <rFont val="新細明體"/>
        <family val="1"/>
        <charset val="136"/>
      </rPr>
      <t>許藝慧</t>
    </r>
  </si>
  <si>
    <r>
      <rPr>
        <sz val="12"/>
        <rFont val="新細明體"/>
        <family val="1"/>
        <charset val="136"/>
      </rPr>
      <t>郭嘉雯</t>
    </r>
  </si>
  <si>
    <r>
      <rPr>
        <sz val="12"/>
        <rFont val="新細明體"/>
        <family val="1"/>
        <charset val="136"/>
      </rPr>
      <t>陳旻君</t>
    </r>
  </si>
  <si>
    <r>
      <rPr>
        <sz val="12"/>
        <rFont val="新細明體"/>
        <family val="1"/>
        <charset val="136"/>
      </rPr>
      <t>黃意綿</t>
    </r>
  </si>
  <si>
    <r>
      <rPr>
        <sz val="12"/>
        <rFont val="新細明體"/>
        <family val="1"/>
        <charset val="136"/>
      </rPr>
      <t>李偉雄</t>
    </r>
  </si>
  <si>
    <r>
      <rPr>
        <sz val="12"/>
        <rFont val="新細明體"/>
        <family val="1"/>
        <charset val="136"/>
      </rPr>
      <t>林雅慈</t>
    </r>
  </si>
  <si>
    <r>
      <rPr>
        <sz val="12"/>
        <rFont val="新細明體"/>
        <family val="1"/>
        <charset val="136"/>
      </rPr>
      <t>葉寶玲</t>
    </r>
  </si>
  <si>
    <r>
      <rPr>
        <sz val="12"/>
        <rFont val="新細明體"/>
        <family val="1"/>
        <charset val="136"/>
      </rPr>
      <t>陳澤凱</t>
    </r>
  </si>
  <si>
    <r>
      <rPr>
        <sz val="12"/>
        <rFont val="新細明體"/>
        <family val="1"/>
        <charset val="136"/>
      </rPr>
      <t>徐展程</t>
    </r>
  </si>
  <si>
    <r>
      <rPr>
        <sz val="12"/>
        <rFont val="新細明體"/>
        <family val="1"/>
        <charset val="136"/>
      </rPr>
      <t>賴玟蓉</t>
    </r>
  </si>
  <si>
    <r>
      <rPr>
        <sz val="12"/>
        <rFont val="新細明體"/>
        <family val="1"/>
        <charset val="136"/>
      </rPr>
      <t>顏雅雯</t>
    </r>
  </si>
  <si>
    <r>
      <rPr>
        <sz val="12"/>
        <rFont val="新細明體"/>
        <family val="1"/>
        <charset val="136"/>
      </rPr>
      <t>廖斯譽</t>
    </r>
  </si>
  <si>
    <r>
      <rPr>
        <sz val="12"/>
        <rFont val="新細明體"/>
        <family val="1"/>
        <charset val="136"/>
      </rPr>
      <t>王景弘</t>
    </r>
  </si>
  <si>
    <r>
      <rPr>
        <sz val="12"/>
        <rFont val="新細明體"/>
        <family val="1"/>
        <charset val="136"/>
      </rPr>
      <t>洪晟恩</t>
    </r>
  </si>
  <si>
    <r>
      <rPr>
        <sz val="12"/>
        <rFont val="新細明體"/>
        <family val="1"/>
        <charset val="136"/>
      </rPr>
      <t>何承峰</t>
    </r>
  </si>
  <si>
    <r>
      <rPr>
        <sz val="12"/>
        <rFont val="新細明體"/>
        <family val="1"/>
        <charset val="136"/>
      </rPr>
      <t>陳威中</t>
    </r>
  </si>
  <si>
    <r>
      <rPr>
        <sz val="12"/>
        <rFont val="新細明體"/>
        <family val="1"/>
        <charset val="136"/>
      </rPr>
      <t>戴侑耘</t>
    </r>
  </si>
  <si>
    <r>
      <rPr>
        <sz val="12"/>
        <rFont val="新細明體"/>
        <family val="1"/>
        <charset val="136"/>
      </rPr>
      <t>徐子淳</t>
    </r>
  </si>
  <si>
    <r>
      <rPr>
        <sz val="12"/>
        <rFont val="新細明體"/>
        <family val="1"/>
        <charset val="136"/>
      </rPr>
      <t>黃筱庭</t>
    </r>
  </si>
  <si>
    <r>
      <rPr>
        <sz val="12"/>
        <rFont val="新細明體"/>
        <family val="1"/>
        <charset val="136"/>
      </rPr>
      <t>黃詩婷</t>
    </r>
  </si>
  <si>
    <r>
      <rPr>
        <sz val="12"/>
        <rFont val="新細明體"/>
        <family val="1"/>
        <charset val="136"/>
      </rPr>
      <t>馬碩鴻</t>
    </r>
  </si>
  <si>
    <r>
      <rPr>
        <sz val="12"/>
        <rFont val="新細明體"/>
        <family val="1"/>
        <charset val="136"/>
      </rPr>
      <t>戴端儀</t>
    </r>
  </si>
  <si>
    <r>
      <rPr>
        <sz val="12"/>
        <rFont val="新細明體"/>
        <family val="1"/>
        <charset val="136"/>
      </rPr>
      <t>劉育儒</t>
    </r>
  </si>
  <si>
    <r>
      <rPr>
        <sz val="12"/>
        <rFont val="新細明體"/>
        <family val="1"/>
        <charset val="136"/>
      </rPr>
      <t>黃亮凱</t>
    </r>
  </si>
  <si>
    <r>
      <rPr>
        <sz val="12"/>
        <rFont val="新細明體"/>
        <family val="1"/>
        <charset val="136"/>
      </rPr>
      <t>陳泓諭</t>
    </r>
  </si>
  <si>
    <r>
      <rPr>
        <sz val="12"/>
        <rFont val="新細明體"/>
        <family val="1"/>
        <charset val="136"/>
      </rPr>
      <t>孫偉翔</t>
    </r>
  </si>
  <si>
    <r>
      <rPr>
        <sz val="12"/>
        <rFont val="新細明體"/>
        <family val="1"/>
        <charset val="136"/>
      </rPr>
      <t>黃麒毓</t>
    </r>
  </si>
  <si>
    <r>
      <rPr>
        <sz val="12"/>
        <rFont val="新細明體"/>
        <family val="1"/>
        <charset val="136"/>
      </rPr>
      <t>陳宇麒</t>
    </r>
    <phoneticPr fontId="3" type="noConversion"/>
  </si>
  <si>
    <r>
      <rPr>
        <sz val="12"/>
        <rFont val="新細明體"/>
        <family val="1"/>
        <charset val="136"/>
      </rPr>
      <t>蔡秉均</t>
    </r>
  </si>
  <si>
    <r>
      <rPr>
        <sz val="12"/>
        <rFont val="新細明體"/>
        <family val="1"/>
        <charset val="136"/>
      </rPr>
      <t>施奕宏</t>
    </r>
  </si>
  <si>
    <r>
      <rPr>
        <sz val="12"/>
        <rFont val="新細明體"/>
        <family val="1"/>
        <charset val="136"/>
      </rPr>
      <t>李庭慧</t>
    </r>
  </si>
  <si>
    <r>
      <rPr>
        <sz val="12"/>
        <rFont val="新細明體"/>
        <family val="1"/>
        <charset val="136"/>
      </rPr>
      <t>林張心</t>
    </r>
  </si>
  <si>
    <r>
      <rPr>
        <sz val="12"/>
        <rFont val="新細明體"/>
        <family val="1"/>
        <charset val="136"/>
      </rPr>
      <t>陳亞琦</t>
    </r>
  </si>
  <si>
    <r>
      <rPr>
        <sz val="12"/>
        <rFont val="新細明體"/>
        <family val="1"/>
        <charset val="136"/>
      </rPr>
      <t>施映全</t>
    </r>
  </si>
  <si>
    <r>
      <rPr>
        <sz val="12"/>
        <rFont val="新細明體"/>
        <family val="1"/>
        <charset val="136"/>
      </rPr>
      <t>劉祐瑜</t>
    </r>
  </si>
  <si>
    <r>
      <rPr>
        <sz val="12"/>
        <rFont val="新細明體"/>
        <family val="1"/>
        <charset val="136"/>
      </rPr>
      <t>侯宜萍</t>
    </r>
  </si>
  <si>
    <r>
      <rPr>
        <sz val="12"/>
        <rFont val="新細明體"/>
        <family val="1"/>
        <charset val="136"/>
      </rPr>
      <t>李芸臻</t>
    </r>
  </si>
  <si>
    <r>
      <rPr>
        <sz val="12"/>
        <rFont val="新細明體"/>
        <family val="1"/>
        <charset val="136"/>
      </rPr>
      <t>黃　晴</t>
    </r>
    <phoneticPr fontId="3" type="noConversion"/>
  </si>
  <si>
    <r>
      <rPr>
        <sz val="12"/>
        <rFont val="新細明體"/>
        <family val="1"/>
        <charset val="136"/>
      </rPr>
      <t>曾新博</t>
    </r>
  </si>
  <si>
    <r>
      <rPr>
        <sz val="12"/>
        <rFont val="新細明體"/>
        <family val="1"/>
        <charset val="136"/>
      </rPr>
      <t>賴建霖</t>
    </r>
  </si>
  <si>
    <r>
      <rPr>
        <sz val="12"/>
        <rFont val="新細明體"/>
        <family val="1"/>
        <charset val="136"/>
      </rPr>
      <t>梁沛謙</t>
    </r>
  </si>
  <si>
    <r>
      <rPr>
        <sz val="12"/>
        <rFont val="新細明體"/>
        <family val="1"/>
        <charset val="136"/>
      </rPr>
      <t>江俞均</t>
    </r>
  </si>
  <si>
    <r>
      <rPr>
        <sz val="12"/>
        <rFont val="新細明體"/>
        <family val="1"/>
        <charset val="136"/>
      </rPr>
      <t>潘韻竹</t>
    </r>
    <phoneticPr fontId="3" type="noConversion"/>
  </si>
  <si>
    <r>
      <rPr>
        <sz val="12"/>
        <rFont val="新細明體"/>
        <family val="1"/>
        <charset val="136"/>
      </rPr>
      <t>徐孟鈺</t>
    </r>
  </si>
  <si>
    <r>
      <rPr>
        <sz val="12"/>
        <rFont val="新細明體"/>
        <family val="1"/>
        <charset val="136"/>
      </rPr>
      <t>邱莉芳</t>
    </r>
  </si>
  <si>
    <r>
      <rPr>
        <sz val="12"/>
        <rFont val="新細明體"/>
        <family val="1"/>
        <charset val="136"/>
      </rPr>
      <t>張巧蓁</t>
    </r>
    <phoneticPr fontId="3" type="noConversion"/>
  </si>
  <si>
    <r>
      <rPr>
        <sz val="12"/>
        <rFont val="新細明體"/>
        <family val="1"/>
        <charset val="136"/>
      </rPr>
      <t>陳昱臻</t>
    </r>
  </si>
  <si>
    <r>
      <rPr>
        <sz val="12"/>
        <rFont val="新細明體"/>
        <family val="1"/>
        <charset val="136"/>
      </rPr>
      <t>吳碩恩</t>
    </r>
  </si>
  <si>
    <r>
      <rPr>
        <sz val="12"/>
        <rFont val="新細明體"/>
        <family val="1"/>
        <charset val="136"/>
      </rPr>
      <t>吳俊德</t>
    </r>
  </si>
  <si>
    <r>
      <rPr>
        <sz val="12"/>
        <rFont val="新細明體"/>
        <family val="1"/>
        <charset val="136"/>
      </rPr>
      <t>鍾駿成</t>
    </r>
  </si>
  <si>
    <r>
      <rPr>
        <sz val="12"/>
        <rFont val="新細明體"/>
        <family val="1"/>
        <charset val="136"/>
      </rPr>
      <t>林泓佐</t>
    </r>
  </si>
  <si>
    <r>
      <rPr>
        <sz val="12"/>
        <rFont val="新細明體"/>
        <family val="1"/>
        <charset val="136"/>
      </rPr>
      <t>陳瑾蘭</t>
    </r>
  </si>
  <si>
    <r>
      <rPr>
        <sz val="12"/>
        <rFont val="新細明體"/>
        <family val="1"/>
        <charset val="136"/>
      </rPr>
      <t>游凱晴</t>
    </r>
  </si>
  <si>
    <r>
      <rPr>
        <sz val="12"/>
        <rFont val="細明體"/>
        <family val="3"/>
        <charset val="136"/>
      </rPr>
      <t>黃浩瑋</t>
    </r>
    <phoneticPr fontId="3" type="noConversion"/>
  </si>
  <si>
    <r>
      <rPr>
        <sz val="12"/>
        <color theme="1"/>
        <rFont val="細明體"/>
        <family val="3"/>
        <charset val="136"/>
      </rPr>
      <t>郭柔芸</t>
    </r>
    <phoneticPr fontId="13" type="noConversion"/>
  </si>
  <si>
    <r>
      <rPr>
        <sz val="12"/>
        <color rgb="FF000000"/>
        <rFont val="細明體"/>
        <family val="3"/>
        <charset val="136"/>
      </rPr>
      <t>陳佳妤</t>
    </r>
    <phoneticPr fontId="13" type="noConversion"/>
  </si>
  <si>
    <r>
      <rPr>
        <sz val="12"/>
        <color theme="1"/>
        <rFont val="細明體"/>
        <family val="3"/>
        <charset val="136"/>
      </rPr>
      <t>李心怡</t>
    </r>
    <phoneticPr fontId="13" type="noConversion"/>
  </si>
  <si>
    <r>
      <rPr>
        <sz val="12"/>
        <rFont val="新細明體"/>
        <family val="1"/>
        <charset val="136"/>
      </rPr>
      <t>中位數</t>
    </r>
    <phoneticPr fontId="3" type="noConversion"/>
  </si>
  <si>
    <r>
      <rPr>
        <sz val="12"/>
        <rFont val="新細明體"/>
        <family val="1"/>
        <charset val="136"/>
      </rPr>
      <t>目前累積最高點數：</t>
    </r>
    <r>
      <rPr>
        <sz val="12"/>
        <rFont val="Times New Roman"/>
        <family val="1"/>
      </rPr>
      <t xml:space="preserve"> </t>
    </r>
    <phoneticPr fontId="3" type="noConversion"/>
  </si>
  <si>
    <r>
      <t>1.10501</t>
    </r>
    <r>
      <rPr>
        <sz val="12"/>
        <rFont val="新細明體"/>
        <family val="1"/>
        <charset val="136"/>
      </rPr>
      <t>學期參加「企業講座」，每場出席記一次</t>
    </r>
    <phoneticPr fontId="3" type="noConversion"/>
  </si>
  <si>
    <r>
      <t>2.</t>
    </r>
    <r>
      <rPr>
        <sz val="12"/>
        <rFont val="新細明體"/>
        <family val="1"/>
        <charset val="136"/>
      </rPr>
      <t>參加校慶運動會繞場</t>
    </r>
    <phoneticPr fontId="3" type="noConversion"/>
  </si>
  <si>
    <r>
      <t>3.106/3/2</t>
    </r>
    <r>
      <rPr>
        <sz val="12"/>
        <rFont val="新細明體"/>
        <family val="1"/>
        <charset val="136"/>
      </rPr>
      <t>班會</t>
    </r>
    <phoneticPr fontId="3" type="noConversion"/>
  </si>
  <si>
    <r>
      <t>4.10502</t>
    </r>
    <r>
      <rPr>
        <sz val="12"/>
        <rFont val="新細明體"/>
        <family val="1"/>
        <charset val="136"/>
      </rPr>
      <t>學期參加「麥當勞這麼做」</t>
    </r>
    <phoneticPr fontId="3" type="noConversion"/>
  </si>
  <si>
    <r>
      <t>5.106/10/20</t>
    </r>
    <r>
      <rPr>
        <sz val="12"/>
        <rFont val="新細明體"/>
        <family val="1"/>
        <charset val="136"/>
      </rPr>
      <t>參加職涯講座</t>
    </r>
    <phoneticPr fontId="3" type="noConversion"/>
  </si>
  <si>
    <r>
      <t>6.106/12/08</t>
    </r>
    <r>
      <rPr>
        <sz val="12"/>
        <rFont val="新細明體"/>
        <family val="1"/>
        <charset val="136"/>
      </rPr>
      <t>參加企業參訪</t>
    </r>
    <phoneticPr fontId="3" type="noConversion"/>
  </si>
  <si>
    <r>
      <t>7.106/12/21</t>
    </r>
    <r>
      <rPr>
        <sz val="12"/>
        <rFont val="新細明體"/>
        <family val="1"/>
        <charset val="136"/>
      </rPr>
      <t>參加專題演講</t>
    </r>
    <phoneticPr fontId="3" type="noConversion"/>
  </si>
  <si>
    <r>
      <rPr>
        <sz val="12"/>
        <rFont val="新細明體"/>
        <family val="1"/>
        <charset val="136"/>
      </rPr>
      <t>加總</t>
    </r>
    <phoneticPr fontId="3" type="noConversion"/>
  </si>
  <si>
    <r>
      <rPr>
        <sz val="12"/>
        <rFont val="新細明體"/>
        <family val="1"/>
        <charset val="136"/>
      </rPr>
      <t>目前累積最高點數：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</si>
  <si>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陳映伊</t>
    </r>
    <phoneticPr fontId="3" type="noConversion"/>
  </si>
  <si>
    <r>
      <rPr>
        <sz val="12"/>
        <rFont val="新細明體"/>
        <family val="1"/>
        <charset val="136"/>
      </rPr>
      <t>黃韻怡</t>
    </r>
  </si>
  <si>
    <r>
      <rPr>
        <sz val="12"/>
        <rFont val="新細明體"/>
        <family val="1"/>
        <charset val="136"/>
      </rPr>
      <t>張景堯</t>
    </r>
  </si>
  <si>
    <r>
      <rPr>
        <sz val="12"/>
        <rFont val="新細明體"/>
        <family val="1"/>
        <charset val="136"/>
      </rPr>
      <t>李仲修</t>
    </r>
  </si>
  <si>
    <r>
      <rPr>
        <sz val="12"/>
        <rFont val="新細明體"/>
        <family val="1"/>
        <charset val="136"/>
      </rPr>
      <t>張作嘉</t>
    </r>
  </si>
  <si>
    <r>
      <rPr>
        <sz val="12"/>
        <rFont val="新細明體"/>
        <family val="1"/>
        <charset val="136"/>
      </rPr>
      <t>林則言</t>
    </r>
  </si>
  <si>
    <r>
      <rPr>
        <sz val="12"/>
        <rFont val="新細明體"/>
        <family val="1"/>
        <charset val="136"/>
      </rPr>
      <t>王以嫻</t>
    </r>
  </si>
  <si>
    <r>
      <rPr>
        <sz val="12"/>
        <rFont val="新細明體"/>
        <family val="1"/>
        <charset val="136"/>
      </rPr>
      <t>陳佳慶</t>
    </r>
  </si>
  <si>
    <r>
      <rPr>
        <sz val="12"/>
        <rFont val="新細明體"/>
        <family val="1"/>
        <charset val="136"/>
      </rPr>
      <t>何鎧圳</t>
    </r>
  </si>
  <si>
    <r>
      <rPr>
        <sz val="12"/>
        <rFont val="新細明體"/>
        <family val="1"/>
        <charset val="136"/>
      </rPr>
      <t>潘家宏</t>
    </r>
  </si>
  <si>
    <r>
      <rPr>
        <sz val="12"/>
        <rFont val="新細明體"/>
        <family val="1"/>
        <charset val="136"/>
      </rPr>
      <t>鄭郁瀠</t>
    </r>
  </si>
  <si>
    <r>
      <rPr>
        <sz val="12"/>
        <rFont val="新細明體"/>
        <family val="1"/>
        <charset val="136"/>
      </rPr>
      <t>陳郁凱</t>
    </r>
  </si>
  <si>
    <r>
      <rPr>
        <sz val="12"/>
        <rFont val="新細明體"/>
        <family val="1"/>
        <charset val="136"/>
      </rPr>
      <t>蔡冠暉</t>
    </r>
  </si>
  <si>
    <r>
      <rPr>
        <sz val="12"/>
        <rFont val="新細明體"/>
        <family val="1"/>
        <charset val="136"/>
      </rPr>
      <t>陳威丞</t>
    </r>
  </si>
  <si>
    <r>
      <rPr>
        <sz val="12"/>
        <rFont val="新細明體"/>
        <family val="1"/>
        <charset val="136"/>
      </rPr>
      <t>周詩涵</t>
    </r>
  </si>
  <si>
    <r>
      <rPr>
        <sz val="12"/>
        <rFont val="新細明體"/>
        <family val="1"/>
        <charset val="136"/>
      </rPr>
      <t>呂德芬</t>
    </r>
  </si>
  <si>
    <r>
      <rPr>
        <sz val="12"/>
        <rFont val="新細明體"/>
        <family val="1"/>
        <charset val="136"/>
      </rPr>
      <t>蕭雅萱</t>
    </r>
  </si>
  <si>
    <r>
      <rPr>
        <sz val="12"/>
        <rFont val="新細明體"/>
        <family val="1"/>
        <charset val="136"/>
      </rPr>
      <t>陳韋亭</t>
    </r>
  </si>
  <si>
    <r>
      <rPr>
        <sz val="12"/>
        <rFont val="新細明體"/>
        <family val="1"/>
        <charset val="136"/>
      </rPr>
      <t>戴峻豪</t>
    </r>
  </si>
  <si>
    <r>
      <rPr>
        <sz val="12"/>
        <rFont val="新細明體"/>
        <family val="1"/>
        <charset val="136"/>
      </rPr>
      <t>李昀磬</t>
    </r>
  </si>
  <si>
    <r>
      <rPr>
        <sz val="12"/>
        <rFont val="新細明體"/>
        <family val="1"/>
        <charset val="136"/>
      </rPr>
      <t>吳宗旺</t>
    </r>
  </si>
  <si>
    <r>
      <rPr>
        <sz val="12"/>
        <rFont val="新細明體"/>
        <family val="1"/>
        <charset val="136"/>
      </rPr>
      <t>周坤諺</t>
    </r>
  </si>
  <si>
    <r>
      <rPr>
        <sz val="12"/>
        <rFont val="新細明體"/>
        <family val="1"/>
        <charset val="136"/>
      </rPr>
      <t>林郁芳</t>
    </r>
  </si>
  <si>
    <r>
      <rPr>
        <sz val="12"/>
        <rFont val="新細明體"/>
        <family val="1"/>
        <charset val="136"/>
      </rPr>
      <t>郭維臻</t>
    </r>
  </si>
  <si>
    <r>
      <rPr>
        <sz val="12"/>
        <rFont val="新細明體"/>
        <family val="1"/>
        <charset val="136"/>
      </rPr>
      <t>曾思蓉</t>
    </r>
  </si>
  <si>
    <r>
      <rPr>
        <sz val="12"/>
        <rFont val="新細明體"/>
        <family val="1"/>
        <charset val="136"/>
      </rPr>
      <t>楊程凱</t>
    </r>
  </si>
  <si>
    <r>
      <rPr>
        <sz val="12"/>
        <rFont val="新細明體"/>
        <family val="1"/>
        <charset val="136"/>
      </rPr>
      <t>侯俊宏</t>
    </r>
  </si>
  <si>
    <r>
      <rPr>
        <sz val="12"/>
        <rFont val="新細明體"/>
        <family val="1"/>
        <charset val="136"/>
      </rPr>
      <t>關芷珊</t>
    </r>
  </si>
  <si>
    <r>
      <rPr>
        <sz val="12"/>
        <rFont val="新細明體"/>
        <family val="1"/>
        <charset val="136"/>
      </rPr>
      <t>李志豪</t>
    </r>
  </si>
  <si>
    <r>
      <rPr>
        <sz val="12"/>
        <rFont val="新細明體"/>
        <family val="1"/>
        <charset val="136"/>
      </rPr>
      <t>蔡曉萍</t>
    </r>
  </si>
  <si>
    <r>
      <rPr>
        <sz val="12"/>
        <rFont val="新細明體"/>
        <family val="1"/>
        <charset val="136"/>
      </rPr>
      <t>林呈憲</t>
    </r>
  </si>
  <si>
    <r>
      <rPr>
        <sz val="12"/>
        <rFont val="新細明體"/>
        <family val="1"/>
        <charset val="136"/>
      </rPr>
      <t>林采儀</t>
    </r>
  </si>
  <si>
    <r>
      <rPr>
        <sz val="12"/>
        <rFont val="新細明體"/>
        <family val="1"/>
        <charset val="136"/>
      </rPr>
      <t>羅翊洋</t>
    </r>
  </si>
  <si>
    <r>
      <rPr>
        <sz val="12"/>
        <rFont val="新細明體"/>
        <family val="1"/>
        <charset val="136"/>
      </rPr>
      <t>廖緯融</t>
    </r>
  </si>
  <si>
    <r>
      <rPr>
        <sz val="12"/>
        <rFont val="新細明體"/>
        <family val="1"/>
        <charset val="136"/>
      </rPr>
      <t>呂弈璇</t>
    </r>
  </si>
  <si>
    <r>
      <rPr>
        <sz val="12"/>
        <rFont val="新細明體"/>
        <family val="1"/>
        <charset val="136"/>
      </rPr>
      <t>莊心慈</t>
    </r>
  </si>
  <si>
    <r>
      <rPr>
        <sz val="12"/>
        <rFont val="新細明體"/>
        <family val="1"/>
        <charset val="136"/>
      </rPr>
      <t>黃婉婷</t>
    </r>
  </si>
  <si>
    <r>
      <rPr>
        <sz val="12"/>
        <rFont val="新細明體"/>
        <family val="1"/>
        <charset val="136"/>
      </rPr>
      <t>莊德歆</t>
    </r>
  </si>
  <si>
    <r>
      <rPr>
        <sz val="12"/>
        <rFont val="新細明體"/>
        <family val="1"/>
        <charset val="136"/>
      </rPr>
      <t>楊品淵</t>
    </r>
  </si>
  <si>
    <r>
      <rPr>
        <sz val="12"/>
        <rFont val="新細明體"/>
        <family val="1"/>
        <charset val="136"/>
      </rPr>
      <t>吳柏緯</t>
    </r>
  </si>
  <si>
    <r>
      <rPr>
        <sz val="12"/>
        <rFont val="新細明體"/>
        <family val="1"/>
        <charset val="136"/>
      </rPr>
      <t>劉俊煇</t>
    </r>
  </si>
  <si>
    <r>
      <rPr>
        <sz val="12"/>
        <rFont val="新細明體"/>
        <family val="1"/>
        <charset val="136"/>
      </rPr>
      <t>簡士翔</t>
    </r>
  </si>
  <si>
    <r>
      <rPr>
        <sz val="12"/>
        <rFont val="新細明體"/>
        <family val="1"/>
        <charset val="136"/>
      </rPr>
      <t>汪宜萱</t>
    </r>
  </si>
  <si>
    <r>
      <rPr>
        <sz val="12"/>
        <rFont val="新細明體"/>
        <family val="1"/>
        <charset val="136"/>
      </rPr>
      <t>廖冠傑</t>
    </r>
  </si>
  <si>
    <r>
      <rPr>
        <sz val="12"/>
        <rFont val="新細明體"/>
        <family val="1"/>
        <charset val="136"/>
      </rPr>
      <t>陳芷吟</t>
    </r>
  </si>
  <si>
    <r>
      <rPr>
        <sz val="12"/>
        <rFont val="新細明體"/>
        <family val="1"/>
        <charset val="136"/>
      </rPr>
      <t>林鈺禮</t>
    </r>
  </si>
  <si>
    <r>
      <rPr>
        <sz val="12"/>
        <rFont val="新細明體"/>
        <family val="1"/>
        <charset val="136"/>
      </rPr>
      <t>林季廣</t>
    </r>
  </si>
  <si>
    <r>
      <rPr>
        <sz val="12"/>
        <rFont val="新細明體"/>
        <family val="1"/>
        <charset val="136"/>
      </rPr>
      <t>蕭雅丞</t>
    </r>
  </si>
  <si>
    <r>
      <rPr>
        <sz val="12"/>
        <rFont val="新細明體"/>
        <family val="1"/>
        <charset val="136"/>
      </rPr>
      <t>吳欣霈</t>
    </r>
  </si>
  <si>
    <r>
      <rPr>
        <sz val="12"/>
        <rFont val="新細明體"/>
        <family val="1"/>
        <charset val="136"/>
      </rPr>
      <t>簡郁政</t>
    </r>
  </si>
  <si>
    <r>
      <rPr>
        <sz val="12"/>
        <rFont val="新細明體"/>
        <family val="1"/>
        <charset val="136"/>
      </rPr>
      <t>王欣璽</t>
    </r>
  </si>
  <si>
    <r>
      <rPr>
        <sz val="12"/>
        <rFont val="新細明體"/>
        <family val="1"/>
        <charset val="136"/>
      </rPr>
      <t>陳姿蓉</t>
    </r>
  </si>
  <si>
    <r>
      <rPr>
        <sz val="12"/>
        <rFont val="新細明體"/>
        <family val="1"/>
        <charset val="136"/>
      </rPr>
      <t>吳泓達</t>
    </r>
  </si>
  <si>
    <r>
      <rPr>
        <sz val="12"/>
        <rFont val="新細明體"/>
        <family val="1"/>
        <charset val="136"/>
      </rPr>
      <t>楊宇傑</t>
    </r>
  </si>
  <si>
    <r>
      <rPr>
        <sz val="12"/>
        <rFont val="新細明體"/>
        <family val="1"/>
        <charset val="136"/>
      </rPr>
      <t>蕭祺臻</t>
    </r>
  </si>
  <si>
    <r>
      <rPr>
        <sz val="12"/>
        <rFont val="新細明體"/>
        <family val="1"/>
        <charset val="136"/>
      </rPr>
      <t>林佑淨</t>
    </r>
  </si>
  <si>
    <r>
      <rPr>
        <sz val="12"/>
        <rFont val="新細明體"/>
        <family val="1"/>
        <charset val="136"/>
      </rPr>
      <t>陳繹翔</t>
    </r>
  </si>
  <si>
    <r>
      <rPr>
        <sz val="12"/>
        <rFont val="新細明體"/>
        <family val="1"/>
        <charset val="136"/>
      </rPr>
      <t>余俐昕</t>
    </r>
  </si>
  <si>
    <r>
      <rPr>
        <sz val="12"/>
        <rFont val="新細明體"/>
        <family val="1"/>
        <charset val="136"/>
      </rPr>
      <t>羅聿辰</t>
    </r>
  </si>
  <si>
    <r>
      <rPr>
        <sz val="12"/>
        <rFont val="新細明體"/>
        <family val="1"/>
        <charset val="136"/>
      </rPr>
      <t>周采萱</t>
    </r>
  </si>
  <si>
    <r>
      <rPr>
        <sz val="12"/>
        <rFont val="新細明體"/>
        <family val="1"/>
        <charset val="136"/>
      </rPr>
      <t>許家禎</t>
    </r>
  </si>
  <si>
    <r>
      <rPr>
        <sz val="12"/>
        <rFont val="新細明體"/>
        <family val="1"/>
        <charset val="136"/>
      </rPr>
      <t>葉柏均</t>
    </r>
  </si>
  <si>
    <r>
      <rPr>
        <sz val="12"/>
        <rFont val="新細明體"/>
        <family val="1"/>
        <charset val="136"/>
      </rPr>
      <t>蕭士鈞</t>
    </r>
  </si>
  <si>
    <r>
      <rPr>
        <sz val="12"/>
        <rFont val="新細明體"/>
        <family val="1"/>
        <charset val="136"/>
      </rPr>
      <t>戴怡安</t>
    </r>
  </si>
  <si>
    <r>
      <rPr>
        <sz val="12"/>
        <rFont val="新細明體"/>
        <family val="1"/>
        <charset val="136"/>
      </rPr>
      <t>吳叡雯</t>
    </r>
  </si>
  <si>
    <r>
      <rPr>
        <sz val="12"/>
        <rFont val="新細明體"/>
        <family val="1"/>
        <charset val="136"/>
      </rPr>
      <t>黃柏綱</t>
    </r>
  </si>
  <si>
    <r>
      <rPr>
        <sz val="12"/>
        <rFont val="新細明體"/>
        <family val="1"/>
        <charset val="136"/>
      </rPr>
      <t>樊信宏</t>
    </r>
  </si>
  <si>
    <r>
      <rPr>
        <sz val="12"/>
        <rFont val="新細明體"/>
        <family val="1"/>
        <charset val="136"/>
      </rPr>
      <t>尤筑筠</t>
    </r>
  </si>
  <si>
    <r>
      <rPr>
        <sz val="12"/>
        <rFont val="新細明體"/>
        <family val="1"/>
        <charset val="136"/>
      </rPr>
      <t>趙顥揚</t>
    </r>
  </si>
  <si>
    <r>
      <rPr>
        <sz val="12"/>
        <rFont val="新細明體"/>
        <family val="1"/>
        <charset val="136"/>
      </rPr>
      <t>陳奕閔</t>
    </r>
  </si>
  <si>
    <r>
      <rPr>
        <sz val="12"/>
        <rFont val="新細明體"/>
        <family val="1"/>
        <charset val="136"/>
      </rPr>
      <t>蘇楷傑</t>
    </r>
  </si>
  <si>
    <r>
      <rPr>
        <sz val="12"/>
        <rFont val="新細明體"/>
        <family val="1"/>
        <charset val="136"/>
      </rPr>
      <t>黃于晨</t>
    </r>
  </si>
  <si>
    <r>
      <rPr>
        <sz val="12"/>
        <rFont val="新細明體"/>
        <family val="1"/>
        <charset val="136"/>
      </rPr>
      <t>徐　懿</t>
    </r>
  </si>
  <si>
    <r>
      <rPr>
        <sz val="12"/>
        <rFont val="新細明體"/>
        <family val="1"/>
        <charset val="136"/>
      </rPr>
      <t>蘇子婷</t>
    </r>
  </si>
  <si>
    <r>
      <rPr>
        <sz val="12"/>
        <rFont val="新細明體"/>
        <family val="1"/>
        <charset val="136"/>
      </rPr>
      <t>姜冠宏</t>
    </r>
  </si>
  <si>
    <r>
      <rPr>
        <sz val="12"/>
        <rFont val="新細明體"/>
        <family val="1"/>
        <charset val="136"/>
      </rPr>
      <t>劉家瑜</t>
    </r>
  </si>
  <si>
    <r>
      <rPr>
        <sz val="12"/>
        <rFont val="新細明體"/>
        <family val="1"/>
        <charset val="136"/>
      </rPr>
      <t>陳　立</t>
    </r>
  </si>
  <si>
    <r>
      <rPr>
        <sz val="12"/>
        <rFont val="新細明體"/>
        <family val="1"/>
        <charset val="136"/>
      </rPr>
      <t>李家儀</t>
    </r>
  </si>
  <si>
    <r>
      <rPr>
        <sz val="12"/>
        <rFont val="新細明體"/>
        <family val="1"/>
        <charset val="136"/>
      </rPr>
      <t>鄭惠珊</t>
    </r>
  </si>
  <si>
    <r>
      <rPr>
        <sz val="12"/>
        <rFont val="新細明體"/>
        <family val="1"/>
        <charset val="136"/>
      </rPr>
      <t>郭樺韻</t>
    </r>
  </si>
  <si>
    <r>
      <rPr>
        <sz val="12"/>
        <rFont val="新細明體"/>
        <family val="1"/>
        <charset val="136"/>
      </rPr>
      <t>潘美妤</t>
    </r>
  </si>
  <si>
    <r>
      <rPr>
        <sz val="12"/>
        <rFont val="新細明體"/>
        <family val="1"/>
        <charset val="136"/>
      </rPr>
      <t>侯冠廷</t>
    </r>
  </si>
  <si>
    <r>
      <rPr>
        <sz val="12"/>
        <rFont val="新細明體"/>
        <family val="1"/>
        <charset val="136"/>
      </rPr>
      <t>吳曼瑄</t>
    </r>
  </si>
  <si>
    <r>
      <rPr>
        <sz val="12"/>
        <rFont val="新細明體"/>
        <family val="1"/>
        <charset val="136"/>
      </rPr>
      <t>林沛辰</t>
    </r>
  </si>
  <si>
    <r>
      <rPr>
        <sz val="12"/>
        <rFont val="新細明體"/>
        <family val="1"/>
        <charset val="136"/>
      </rPr>
      <t>陳巧縈</t>
    </r>
  </si>
  <si>
    <r>
      <rPr>
        <sz val="12"/>
        <rFont val="新細明體"/>
        <family val="1"/>
        <charset val="136"/>
      </rPr>
      <t>許瑜庭</t>
    </r>
  </si>
  <si>
    <r>
      <rPr>
        <sz val="12"/>
        <rFont val="新細明體"/>
        <family val="1"/>
        <charset val="136"/>
      </rPr>
      <t>朱行光</t>
    </r>
  </si>
  <si>
    <r>
      <rPr>
        <sz val="12"/>
        <rFont val="新細明體"/>
        <family val="1"/>
        <charset val="136"/>
      </rPr>
      <t>李　昀</t>
    </r>
  </si>
  <si>
    <r>
      <rPr>
        <sz val="12"/>
        <rFont val="新細明體"/>
        <family val="1"/>
        <charset val="136"/>
      </rPr>
      <t>郭劭耘</t>
    </r>
  </si>
  <si>
    <r>
      <rPr>
        <sz val="12"/>
        <rFont val="新細明體"/>
        <family val="1"/>
        <charset val="136"/>
      </rPr>
      <t>鄭浩偉</t>
    </r>
  </si>
  <si>
    <r>
      <rPr>
        <sz val="12"/>
        <rFont val="新細明體"/>
        <family val="1"/>
        <charset val="136"/>
      </rPr>
      <t>李博軒</t>
    </r>
  </si>
  <si>
    <r>
      <rPr>
        <sz val="12"/>
        <rFont val="新細明體"/>
        <family val="1"/>
        <charset val="136"/>
      </rPr>
      <t>陳儀安</t>
    </r>
  </si>
  <si>
    <r>
      <rPr>
        <sz val="12"/>
        <rFont val="新細明體"/>
        <family val="1"/>
        <charset val="136"/>
      </rPr>
      <t>李士彬</t>
    </r>
  </si>
  <si>
    <r>
      <rPr>
        <sz val="12"/>
        <rFont val="新細明體"/>
        <family val="1"/>
        <charset val="136"/>
      </rPr>
      <t>蔡孟勳</t>
    </r>
  </si>
  <si>
    <r>
      <rPr>
        <sz val="12"/>
        <rFont val="新細明體"/>
        <family val="1"/>
        <charset val="136"/>
      </rPr>
      <t>黃嘉瑋</t>
    </r>
  </si>
  <si>
    <r>
      <rPr>
        <sz val="12"/>
        <rFont val="新細明體"/>
        <family val="1"/>
        <charset val="136"/>
      </rPr>
      <t>李依庭</t>
    </r>
  </si>
  <si>
    <r>
      <rPr>
        <sz val="12"/>
        <rFont val="新細明體"/>
        <family val="1"/>
        <charset val="136"/>
      </rPr>
      <t>陳芝蓓</t>
    </r>
    <phoneticPr fontId="3" type="noConversion"/>
  </si>
  <si>
    <r>
      <rPr>
        <sz val="12"/>
        <rFont val="新細明體"/>
        <family val="1"/>
        <charset val="136"/>
      </rPr>
      <t>林文正</t>
    </r>
    <phoneticPr fontId="3" type="noConversion"/>
  </si>
  <si>
    <r>
      <rPr>
        <sz val="12"/>
        <rFont val="新細明體"/>
        <family val="1"/>
        <charset val="136"/>
      </rPr>
      <t>中位數</t>
    </r>
    <phoneticPr fontId="3" type="noConversion"/>
  </si>
  <si>
    <r>
      <t>1.104/9/17</t>
    </r>
    <r>
      <rPr>
        <sz val="12"/>
        <rFont val="新細明體"/>
        <family val="1"/>
        <charset val="136"/>
      </rPr>
      <t>班會</t>
    </r>
    <phoneticPr fontId="3" type="noConversion"/>
  </si>
  <si>
    <r>
      <t>2.104/10/3</t>
    </r>
    <r>
      <rPr>
        <sz val="12"/>
        <rFont val="新細明體"/>
        <family val="1"/>
        <charset val="136"/>
      </rPr>
      <t>參加「企業併購策略與實務」</t>
    </r>
    <phoneticPr fontId="3" type="noConversion"/>
  </si>
  <si>
    <r>
      <t>3.104/10/31</t>
    </r>
    <r>
      <rPr>
        <sz val="12"/>
        <rFont val="新細明體"/>
        <family val="1"/>
        <charset val="136"/>
      </rPr>
      <t>參加校慶運動會</t>
    </r>
    <phoneticPr fontId="3" type="noConversion"/>
  </si>
  <si>
    <r>
      <t>4.105/5/4</t>
    </r>
    <r>
      <rPr>
        <sz val="12"/>
        <rFont val="新細明體"/>
        <family val="1"/>
        <charset val="136"/>
      </rPr>
      <t>参加校反毒晚會</t>
    </r>
    <phoneticPr fontId="3" type="noConversion"/>
  </si>
  <si>
    <r>
      <t>5.105/12/9</t>
    </r>
    <r>
      <rPr>
        <sz val="12"/>
        <rFont val="新細明體"/>
        <family val="1"/>
        <charset val="136"/>
      </rPr>
      <t>參加企業參訪</t>
    </r>
    <phoneticPr fontId="3" type="noConversion"/>
  </si>
  <si>
    <r>
      <t>6.10501</t>
    </r>
    <r>
      <rPr>
        <sz val="12"/>
        <rFont val="新細明體"/>
        <family val="1"/>
        <charset val="136"/>
      </rPr>
      <t>學期參加「企業講座」，每場出席記一次</t>
    </r>
    <phoneticPr fontId="3" type="noConversion"/>
  </si>
  <si>
    <r>
      <t>7.106/10/20</t>
    </r>
    <r>
      <rPr>
        <sz val="12"/>
        <rFont val="新細明體"/>
        <family val="1"/>
        <charset val="136"/>
      </rPr>
      <t>參加職涯講座</t>
    </r>
    <phoneticPr fontId="3" type="noConversion"/>
  </si>
  <si>
    <r>
      <t>8.106/12/08</t>
    </r>
    <r>
      <rPr>
        <sz val="12"/>
        <rFont val="新細明體"/>
        <family val="1"/>
        <charset val="136"/>
      </rPr>
      <t>參加企業參訪</t>
    </r>
    <phoneticPr fontId="3" type="noConversion"/>
  </si>
  <si>
    <t>李長益</t>
  </si>
  <si>
    <t>陳映伊</t>
    <phoneticPr fontId="3" type="noConversion"/>
  </si>
  <si>
    <t>林文正</t>
  </si>
  <si>
    <t>許家豪</t>
    <phoneticPr fontId="3" type="noConversion"/>
  </si>
  <si>
    <t>許弘儒</t>
    <phoneticPr fontId="3" type="noConversion"/>
  </si>
  <si>
    <t>王茗惠</t>
  </si>
  <si>
    <t>王婷蓁</t>
  </si>
  <si>
    <t>胡正宇</t>
  </si>
  <si>
    <t>陳芝蓓</t>
  </si>
  <si>
    <t>黃譯</t>
    <phoneticPr fontId="13" type="noConversion"/>
  </si>
  <si>
    <t>柯泓全</t>
  </si>
  <si>
    <t>簡郁潔</t>
  </si>
  <si>
    <t>范瑋宗</t>
  </si>
  <si>
    <t>林聖昀</t>
  </si>
  <si>
    <t>陳映伊</t>
    <phoneticPr fontId="3" type="noConversion"/>
  </si>
  <si>
    <r>
      <rPr>
        <sz val="12"/>
        <rFont val="新細明體"/>
        <family val="1"/>
        <charset val="136"/>
      </rPr>
      <t>梁煜傑</t>
    </r>
  </si>
  <si>
    <r>
      <rPr>
        <sz val="12"/>
        <rFont val="新細明體"/>
        <family val="1"/>
        <charset val="136"/>
      </rPr>
      <t>謝依臻</t>
    </r>
  </si>
  <si>
    <r>
      <rPr>
        <sz val="12"/>
        <rFont val="新細明體"/>
        <family val="1"/>
        <charset val="136"/>
      </rPr>
      <t>葉思彤</t>
    </r>
  </si>
  <si>
    <r>
      <rPr>
        <sz val="12"/>
        <rFont val="新細明體"/>
        <family val="1"/>
        <charset val="136"/>
      </rPr>
      <t>蘇俊益</t>
    </r>
  </si>
  <si>
    <r>
      <rPr>
        <sz val="12"/>
        <rFont val="新細明體"/>
        <family val="1"/>
        <charset val="136"/>
      </rPr>
      <t>翁梓桓</t>
    </r>
  </si>
  <si>
    <r>
      <rPr>
        <sz val="12"/>
        <rFont val="新細明體"/>
        <family val="1"/>
        <charset val="136"/>
      </rPr>
      <t>林家平</t>
    </r>
  </si>
  <si>
    <r>
      <rPr>
        <sz val="12"/>
        <rFont val="新細明體"/>
        <family val="1"/>
        <charset val="136"/>
      </rPr>
      <t>洪誠鴻</t>
    </r>
  </si>
  <si>
    <r>
      <rPr>
        <sz val="12"/>
        <rFont val="新細明體"/>
        <family val="1"/>
        <charset val="136"/>
      </rPr>
      <t>范植惟</t>
    </r>
  </si>
  <si>
    <r>
      <rPr>
        <sz val="12"/>
        <rFont val="新細明體"/>
        <family val="1"/>
        <charset val="136"/>
      </rPr>
      <t>李安翔</t>
    </r>
  </si>
  <si>
    <r>
      <rPr>
        <sz val="12"/>
        <rFont val="新細明體"/>
        <family val="1"/>
        <charset val="136"/>
      </rPr>
      <t>朱奕亞</t>
    </r>
  </si>
  <si>
    <r>
      <rPr>
        <sz val="12"/>
        <rFont val="新細明體"/>
        <family val="1"/>
        <charset val="136"/>
      </rPr>
      <t>沈雅文</t>
    </r>
  </si>
  <si>
    <r>
      <rPr>
        <sz val="12"/>
        <rFont val="新細明體"/>
        <family val="1"/>
        <charset val="136"/>
      </rPr>
      <t>許哲維</t>
    </r>
  </si>
  <si>
    <r>
      <rPr>
        <sz val="12"/>
        <rFont val="新細明體"/>
        <family val="1"/>
        <charset val="136"/>
      </rPr>
      <t>劉建營</t>
    </r>
  </si>
  <si>
    <r>
      <rPr>
        <sz val="12"/>
        <rFont val="新細明體"/>
        <family val="1"/>
        <charset val="136"/>
      </rPr>
      <t>黃嵩閔</t>
    </r>
  </si>
  <si>
    <r>
      <rPr>
        <sz val="12"/>
        <rFont val="新細明體"/>
        <family val="1"/>
        <charset val="136"/>
      </rPr>
      <t>謝雨珊</t>
    </r>
  </si>
  <si>
    <r>
      <rPr>
        <sz val="12"/>
        <rFont val="新細明體"/>
        <family val="1"/>
        <charset val="136"/>
      </rPr>
      <t>陳毓華</t>
    </r>
  </si>
  <si>
    <r>
      <rPr>
        <sz val="12"/>
        <rFont val="新細明體"/>
        <family val="1"/>
        <charset val="136"/>
      </rPr>
      <t>黃安偉</t>
    </r>
  </si>
  <si>
    <r>
      <rPr>
        <sz val="12"/>
        <rFont val="新細明體"/>
        <family val="1"/>
        <charset val="136"/>
      </rPr>
      <t>楊芷綾</t>
    </r>
  </si>
  <si>
    <r>
      <rPr>
        <sz val="12"/>
        <rFont val="新細明體"/>
        <family val="1"/>
        <charset val="136"/>
      </rPr>
      <t>吳家樂</t>
    </r>
  </si>
  <si>
    <r>
      <rPr>
        <sz val="12"/>
        <rFont val="新細明體"/>
        <family val="1"/>
        <charset val="136"/>
      </rPr>
      <t>李瑞祥</t>
    </r>
  </si>
  <si>
    <r>
      <rPr>
        <sz val="12"/>
        <rFont val="新細明體"/>
        <family val="1"/>
        <charset val="136"/>
      </rPr>
      <t>陳思頤</t>
    </r>
  </si>
  <si>
    <r>
      <rPr>
        <sz val="12"/>
        <rFont val="新細明體"/>
        <family val="1"/>
        <charset val="136"/>
      </rPr>
      <t>張翊珣</t>
    </r>
  </si>
  <si>
    <r>
      <rPr>
        <sz val="12"/>
        <rFont val="新細明體"/>
        <family val="1"/>
        <charset val="136"/>
      </rPr>
      <t>胡　量</t>
    </r>
  </si>
  <si>
    <r>
      <rPr>
        <sz val="12"/>
        <rFont val="新細明體"/>
        <family val="1"/>
        <charset val="136"/>
      </rPr>
      <t>許家瑋</t>
    </r>
  </si>
  <si>
    <r>
      <rPr>
        <sz val="12"/>
        <rFont val="新細明體"/>
        <family val="1"/>
        <charset val="136"/>
      </rPr>
      <t>曾心瀅</t>
    </r>
  </si>
  <si>
    <r>
      <rPr>
        <sz val="12"/>
        <rFont val="新細明體"/>
        <family val="1"/>
        <charset val="136"/>
      </rPr>
      <t>許鈺苓</t>
    </r>
  </si>
  <si>
    <r>
      <rPr>
        <sz val="12"/>
        <rFont val="新細明體"/>
        <family val="1"/>
        <charset val="136"/>
      </rPr>
      <t>李紜菁</t>
    </r>
  </si>
  <si>
    <r>
      <rPr>
        <sz val="12"/>
        <rFont val="新細明體"/>
        <family val="1"/>
        <charset val="136"/>
      </rPr>
      <t>黃偉華</t>
    </r>
  </si>
  <si>
    <r>
      <rPr>
        <sz val="12"/>
        <rFont val="新細明體"/>
        <family val="1"/>
        <charset val="136"/>
      </rPr>
      <t>吳修齊</t>
    </r>
  </si>
  <si>
    <r>
      <rPr>
        <sz val="12"/>
        <rFont val="新細明體"/>
        <family val="1"/>
        <charset val="136"/>
      </rPr>
      <t>李孟娟</t>
    </r>
  </si>
  <si>
    <r>
      <rPr>
        <sz val="12"/>
        <rFont val="新細明體"/>
        <family val="1"/>
        <charset val="136"/>
      </rPr>
      <t>龔宜鈞</t>
    </r>
  </si>
  <si>
    <r>
      <rPr>
        <sz val="12"/>
        <rFont val="新細明體"/>
        <family val="1"/>
        <charset val="136"/>
      </rPr>
      <t>李怡霆</t>
    </r>
  </si>
  <si>
    <r>
      <rPr>
        <sz val="12"/>
        <rFont val="新細明體"/>
        <family val="1"/>
        <charset val="136"/>
      </rPr>
      <t>陳美琪</t>
    </r>
  </si>
  <si>
    <r>
      <rPr>
        <sz val="12"/>
        <rFont val="新細明體"/>
        <family val="1"/>
        <charset val="136"/>
      </rPr>
      <t>屈亦靜</t>
    </r>
  </si>
  <si>
    <r>
      <rPr>
        <sz val="12"/>
        <rFont val="新細明體"/>
        <family val="1"/>
        <charset val="136"/>
      </rPr>
      <t>張悅盈</t>
    </r>
  </si>
  <si>
    <r>
      <rPr>
        <sz val="12"/>
        <rFont val="新細明體"/>
        <family val="1"/>
        <charset val="136"/>
      </rPr>
      <t>李家灝</t>
    </r>
  </si>
  <si>
    <r>
      <rPr>
        <sz val="12"/>
        <rFont val="新細明體"/>
        <family val="1"/>
        <charset val="136"/>
      </rPr>
      <t>王俊貽</t>
    </r>
  </si>
  <si>
    <r>
      <rPr>
        <sz val="12"/>
        <rFont val="新細明體"/>
        <family val="1"/>
        <charset val="136"/>
      </rPr>
      <t>陳柏叡</t>
    </r>
  </si>
  <si>
    <r>
      <rPr>
        <sz val="12"/>
        <rFont val="新細明體"/>
        <family val="1"/>
        <charset val="136"/>
      </rPr>
      <t>鄭昕宜</t>
    </r>
  </si>
  <si>
    <r>
      <rPr>
        <sz val="12"/>
        <rFont val="新細明體"/>
        <family val="1"/>
        <charset val="136"/>
      </rPr>
      <t>余崇禾</t>
    </r>
  </si>
  <si>
    <r>
      <rPr>
        <sz val="12"/>
        <rFont val="新細明體"/>
        <family val="1"/>
        <charset val="136"/>
      </rPr>
      <t>連恆梅</t>
    </r>
  </si>
  <si>
    <r>
      <rPr>
        <sz val="12"/>
        <rFont val="新細明體"/>
        <family val="1"/>
        <charset val="136"/>
      </rPr>
      <t>王忠勗</t>
    </r>
  </si>
  <si>
    <r>
      <rPr>
        <sz val="12"/>
        <rFont val="新細明體"/>
        <family val="1"/>
        <charset val="136"/>
      </rPr>
      <t>徐佩琳</t>
    </r>
    <phoneticPr fontId="3" type="noConversion"/>
  </si>
  <si>
    <r>
      <rPr>
        <sz val="12"/>
        <rFont val="新細明體"/>
        <family val="1"/>
        <charset val="136"/>
      </rPr>
      <t>謝芝晴</t>
    </r>
  </si>
  <si>
    <r>
      <rPr>
        <sz val="12"/>
        <rFont val="新細明體"/>
        <family val="1"/>
        <charset val="136"/>
      </rPr>
      <t>郭韋琳</t>
    </r>
  </si>
  <si>
    <r>
      <rPr>
        <sz val="12"/>
        <rFont val="新細明體"/>
        <family val="1"/>
        <charset val="136"/>
      </rPr>
      <t>羅儀君</t>
    </r>
  </si>
  <si>
    <r>
      <rPr>
        <sz val="12"/>
        <rFont val="新細明體"/>
        <family val="1"/>
        <charset val="136"/>
      </rPr>
      <t>江毓恩</t>
    </r>
  </si>
  <si>
    <r>
      <rPr>
        <sz val="12"/>
        <rFont val="新細明體"/>
        <family val="1"/>
        <charset val="136"/>
      </rPr>
      <t>徐翊庭</t>
    </r>
  </si>
  <si>
    <r>
      <rPr>
        <sz val="12"/>
        <rFont val="新細明體"/>
        <family val="1"/>
        <charset val="136"/>
      </rPr>
      <t>游承哲</t>
    </r>
  </si>
  <si>
    <r>
      <rPr>
        <sz val="12"/>
        <rFont val="新細明體"/>
        <family val="1"/>
        <charset val="136"/>
      </rPr>
      <t>吳佩珊</t>
    </r>
  </si>
  <si>
    <r>
      <rPr>
        <sz val="12"/>
        <rFont val="新細明體"/>
        <family val="1"/>
        <charset val="136"/>
      </rPr>
      <t>蕭宜恩</t>
    </r>
  </si>
  <si>
    <r>
      <rPr>
        <sz val="12"/>
        <rFont val="新細明體"/>
        <family val="1"/>
        <charset val="136"/>
      </rPr>
      <t>黃毓涵</t>
    </r>
  </si>
  <si>
    <r>
      <rPr>
        <sz val="12"/>
        <rFont val="新細明體"/>
        <family val="1"/>
        <charset val="136"/>
      </rPr>
      <t>羅　琳</t>
    </r>
  </si>
  <si>
    <r>
      <rPr>
        <sz val="12"/>
        <rFont val="新細明體"/>
        <family val="1"/>
        <charset val="136"/>
      </rPr>
      <t>許家榮</t>
    </r>
  </si>
  <si>
    <r>
      <rPr>
        <sz val="12"/>
        <rFont val="新細明體"/>
        <family val="1"/>
        <charset val="136"/>
      </rPr>
      <t>林佳瑩</t>
    </r>
    <phoneticPr fontId="3" type="noConversion"/>
  </si>
  <si>
    <r>
      <rPr>
        <sz val="12"/>
        <rFont val="新細明體"/>
        <family val="1"/>
        <charset val="136"/>
      </rPr>
      <t>詹前仲</t>
    </r>
  </si>
  <si>
    <r>
      <rPr>
        <sz val="12"/>
        <rFont val="新細明體"/>
        <family val="1"/>
        <charset val="136"/>
      </rPr>
      <t>蔣維倫</t>
    </r>
    <phoneticPr fontId="3" type="noConversion"/>
  </si>
  <si>
    <r>
      <rPr>
        <sz val="12"/>
        <rFont val="新細明體"/>
        <family val="1"/>
        <charset val="136"/>
      </rPr>
      <t>邱禹融</t>
    </r>
    <phoneticPr fontId="3" type="noConversion"/>
  </si>
  <si>
    <r>
      <rPr>
        <sz val="12"/>
        <rFont val="新細明體"/>
        <family val="1"/>
        <charset val="136"/>
      </rPr>
      <t>陳宥誠</t>
    </r>
    <phoneticPr fontId="3" type="noConversion"/>
  </si>
  <si>
    <r>
      <rPr>
        <sz val="12"/>
        <rFont val="新細明體"/>
        <family val="1"/>
        <charset val="136"/>
      </rPr>
      <t>蔡秉諺</t>
    </r>
  </si>
  <si>
    <r>
      <rPr>
        <sz val="12"/>
        <rFont val="新細明體"/>
        <family val="1"/>
        <charset val="136"/>
      </rPr>
      <t>鄭晨妤</t>
    </r>
  </si>
  <si>
    <r>
      <rPr>
        <sz val="12"/>
        <rFont val="新細明體"/>
        <family val="1"/>
        <charset val="136"/>
      </rPr>
      <t>鄭詩涵</t>
    </r>
  </si>
  <si>
    <r>
      <rPr>
        <sz val="12"/>
        <rFont val="新細明體"/>
        <family val="1"/>
        <charset val="136"/>
      </rPr>
      <t>王韻茹</t>
    </r>
  </si>
  <si>
    <r>
      <rPr>
        <sz val="12"/>
        <rFont val="新細明體"/>
        <family val="1"/>
        <charset val="136"/>
      </rPr>
      <t>陳　霖</t>
    </r>
    <phoneticPr fontId="3" type="noConversion"/>
  </si>
  <si>
    <r>
      <rPr>
        <sz val="12"/>
        <rFont val="新細明體"/>
        <family val="1"/>
        <charset val="136"/>
      </rPr>
      <t>林佑蓁</t>
    </r>
    <phoneticPr fontId="3" type="noConversion"/>
  </si>
  <si>
    <r>
      <rPr>
        <sz val="12"/>
        <rFont val="新細明體"/>
        <family val="1"/>
        <charset val="136"/>
      </rPr>
      <t>江承恩</t>
    </r>
  </si>
  <si>
    <r>
      <rPr>
        <sz val="12"/>
        <rFont val="新細明體"/>
        <family val="1"/>
        <charset val="136"/>
      </rPr>
      <t>張舒雅</t>
    </r>
    <phoneticPr fontId="3" type="noConversion"/>
  </si>
  <si>
    <r>
      <rPr>
        <sz val="12"/>
        <rFont val="新細明體"/>
        <family val="1"/>
        <charset val="136"/>
      </rPr>
      <t>梁庭華</t>
    </r>
  </si>
  <si>
    <r>
      <rPr>
        <sz val="12"/>
        <rFont val="新細明體"/>
        <family val="1"/>
        <charset val="136"/>
      </rPr>
      <t>彭士瑋</t>
    </r>
  </si>
  <si>
    <r>
      <rPr>
        <sz val="12"/>
        <rFont val="新細明體"/>
        <family val="1"/>
        <charset val="136"/>
      </rPr>
      <t>毛韡傑</t>
    </r>
    <phoneticPr fontId="3" type="noConversion"/>
  </si>
  <si>
    <r>
      <rPr>
        <sz val="12"/>
        <rFont val="新細明體"/>
        <family val="1"/>
        <charset val="136"/>
      </rPr>
      <t>宋肯瑋</t>
    </r>
    <phoneticPr fontId="3" type="noConversion"/>
  </si>
  <si>
    <r>
      <rPr>
        <sz val="12"/>
        <rFont val="新細明體"/>
        <family val="1"/>
        <charset val="136"/>
      </rPr>
      <t>李苡甄</t>
    </r>
  </si>
  <si>
    <r>
      <rPr>
        <sz val="12"/>
        <rFont val="新細明體"/>
        <family val="1"/>
        <charset val="136"/>
      </rPr>
      <t>王心玗</t>
    </r>
    <phoneticPr fontId="3" type="noConversion"/>
  </si>
  <si>
    <r>
      <rPr>
        <sz val="12"/>
        <rFont val="新細明體"/>
        <family val="1"/>
        <charset val="136"/>
      </rPr>
      <t>李芷安</t>
    </r>
  </si>
  <si>
    <r>
      <rPr>
        <sz val="12"/>
        <rFont val="新細明體"/>
        <family val="1"/>
        <charset val="136"/>
      </rPr>
      <t>王　翔</t>
    </r>
  </si>
  <si>
    <r>
      <rPr>
        <sz val="12"/>
        <rFont val="新細明體"/>
        <family val="1"/>
        <charset val="136"/>
      </rPr>
      <t>林宜萱</t>
    </r>
  </si>
  <si>
    <r>
      <rPr>
        <sz val="12"/>
        <rFont val="新細明體"/>
        <family val="1"/>
        <charset val="136"/>
      </rPr>
      <t>徐祥修</t>
    </r>
  </si>
  <si>
    <r>
      <rPr>
        <sz val="12"/>
        <rFont val="新細明體"/>
        <family val="1"/>
        <charset val="136"/>
      </rPr>
      <t>姜智凌</t>
    </r>
  </si>
  <si>
    <r>
      <rPr>
        <sz val="12"/>
        <rFont val="新細明體"/>
        <family val="1"/>
        <charset val="136"/>
      </rPr>
      <t>范琇涵</t>
    </r>
  </si>
  <si>
    <r>
      <rPr>
        <sz val="12"/>
        <rFont val="新細明體"/>
        <family val="1"/>
        <charset val="136"/>
      </rPr>
      <t>黃　喬</t>
    </r>
  </si>
  <si>
    <r>
      <rPr>
        <sz val="12"/>
        <rFont val="新細明體"/>
        <family val="1"/>
        <charset val="136"/>
      </rPr>
      <t>陳怡中</t>
    </r>
  </si>
  <si>
    <r>
      <rPr>
        <sz val="12"/>
        <rFont val="新細明體"/>
        <family val="1"/>
        <charset val="136"/>
      </rPr>
      <t>廖奕崴</t>
    </r>
    <phoneticPr fontId="3" type="noConversion"/>
  </si>
  <si>
    <r>
      <rPr>
        <sz val="12"/>
        <rFont val="新細明體"/>
        <family val="1"/>
        <charset val="136"/>
      </rPr>
      <t>蔡絜如</t>
    </r>
  </si>
  <si>
    <r>
      <rPr>
        <sz val="12"/>
        <rFont val="新細明體"/>
        <family val="1"/>
        <charset val="136"/>
      </rPr>
      <t>王伽菁</t>
    </r>
    <phoneticPr fontId="3" type="noConversion"/>
  </si>
  <si>
    <r>
      <rPr>
        <sz val="12"/>
        <rFont val="新細明體"/>
        <family val="1"/>
        <charset val="136"/>
      </rPr>
      <t>洪苡芮</t>
    </r>
  </si>
  <si>
    <r>
      <rPr>
        <sz val="12"/>
        <rFont val="新細明體"/>
        <family val="1"/>
        <charset val="136"/>
      </rPr>
      <t>王鏡銘</t>
    </r>
  </si>
  <si>
    <r>
      <rPr>
        <sz val="12"/>
        <rFont val="新細明體"/>
        <family val="1"/>
        <charset val="136"/>
      </rPr>
      <t>林慧柔</t>
    </r>
  </si>
  <si>
    <r>
      <rPr>
        <sz val="12"/>
        <rFont val="新細明體"/>
        <family val="1"/>
        <charset val="136"/>
      </rPr>
      <t>黃聖文</t>
    </r>
  </si>
  <si>
    <r>
      <rPr>
        <sz val="12"/>
        <rFont val="新細明體"/>
        <family val="1"/>
        <charset val="136"/>
      </rPr>
      <t>王童緯</t>
    </r>
    <phoneticPr fontId="3" type="noConversion"/>
  </si>
  <si>
    <r>
      <rPr>
        <sz val="12"/>
        <rFont val="新細明體"/>
        <family val="1"/>
        <charset val="136"/>
      </rPr>
      <t>賴鵬翔</t>
    </r>
  </si>
  <si>
    <r>
      <rPr>
        <sz val="12"/>
        <rFont val="新細明體"/>
        <family val="1"/>
        <charset val="136"/>
      </rPr>
      <t>田伶</t>
    </r>
  </si>
  <si>
    <r>
      <rPr>
        <sz val="12"/>
        <rFont val="新細明體"/>
        <family val="1"/>
        <charset val="136"/>
      </rPr>
      <t>王湘婷</t>
    </r>
  </si>
  <si>
    <r>
      <rPr>
        <sz val="12"/>
        <rFont val="新細明體"/>
        <family val="1"/>
        <charset val="136"/>
      </rPr>
      <t>陳琬儒</t>
    </r>
  </si>
  <si>
    <r>
      <rPr>
        <sz val="12"/>
        <rFont val="新細明體"/>
        <family val="1"/>
        <charset val="136"/>
      </rPr>
      <t>陳慧盈</t>
    </r>
  </si>
  <si>
    <r>
      <rPr>
        <sz val="12"/>
        <rFont val="新細明體"/>
        <family val="1"/>
        <charset val="136"/>
      </rPr>
      <t>吳玫萱</t>
    </r>
  </si>
  <si>
    <r>
      <rPr>
        <sz val="12"/>
        <rFont val="新細明體"/>
        <family val="1"/>
        <charset val="136"/>
      </rPr>
      <t>胡婉儒</t>
    </r>
  </si>
  <si>
    <r>
      <rPr>
        <sz val="12"/>
        <rFont val="新細明體"/>
        <family val="1"/>
        <charset val="136"/>
      </rPr>
      <t>程嵐馨</t>
    </r>
  </si>
  <si>
    <r>
      <rPr>
        <sz val="12"/>
        <rFont val="新細明體"/>
        <family val="1"/>
        <charset val="136"/>
      </rPr>
      <t>莊雅涵</t>
    </r>
  </si>
  <si>
    <r>
      <rPr>
        <sz val="12"/>
        <rFont val="新細明體"/>
        <family val="1"/>
        <charset val="136"/>
      </rPr>
      <t>蔡亞璇</t>
    </r>
    <phoneticPr fontId="3" type="noConversion"/>
  </si>
  <si>
    <r>
      <rPr>
        <sz val="12"/>
        <rFont val="新細明體"/>
        <family val="1"/>
        <charset val="136"/>
      </rPr>
      <t>胡君蓉</t>
    </r>
    <phoneticPr fontId="3" type="noConversion"/>
  </si>
  <si>
    <r>
      <rPr>
        <sz val="12"/>
        <rFont val="新細明體"/>
        <family val="1"/>
        <charset val="136"/>
      </rPr>
      <t>鄭鈺潔</t>
    </r>
    <phoneticPr fontId="3" type="noConversion"/>
  </si>
  <si>
    <r>
      <rPr>
        <sz val="12"/>
        <rFont val="新細明體"/>
        <family val="1"/>
        <charset val="136"/>
      </rPr>
      <t>唐莞柔</t>
    </r>
    <phoneticPr fontId="3" type="noConversion"/>
  </si>
  <si>
    <r>
      <rPr>
        <sz val="12"/>
        <rFont val="新細明體"/>
        <family val="1"/>
        <charset val="136"/>
      </rPr>
      <t>辛宜芳</t>
    </r>
    <phoneticPr fontId="3" type="noConversion"/>
  </si>
  <si>
    <r>
      <rPr>
        <sz val="12"/>
        <rFont val="新細明體"/>
        <family val="1"/>
        <charset val="136"/>
      </rPr>
      <t>李長益</t>
    </r>
    <phoneticPr fontId="3" type="noConversion"/>
  </si>
  <si>
    <r>
      <rPr>
        <sz val="12"/>
        <rFont val="新細明體"/>
        <family val="1"/>
        <charset val="136"/>
      </rPr>
      <t>林慈娟</t>
    </r>
    <phoneticPr fontId="3" type="noConversion"/>
  </si>
  <si>
    <r>
      <rPr>
        <sz val="12"/>
        <rFont val="新細明體"/>
        <family val="1"/>
        <charset val="136"/>
      </rPr>
      <t>李育賢</t>
    </r>
    <phoneticPr fontId="3" type="noConversion"/>
  </si>
  <si>
    <r>
      <rPr>
        <sz val="12"/>
        <rFont val="新細明體"/>
        <family val="1"/>
        <charset val="136"/>
      </rPr>
      <t>羅文佑</t>
    </r>
    <phoneticPr fontId="3" type="noConversion"/>
  </si>
  <si>
    <r>
      <rPr>
        <sz val="12"/>
        <rFont val="新細明體"/>
        <family val="1"/>
        <charset val="136"/>
      </rPr>
      <t>林宗諺</t>
    </r>
    <phoneticPr fontId="3" type="noConversion"/>
  </si>
  <si>
    <r>
      <rPr>
        <sz val="12"/>
        <rFont val="新細明體"/>
        <family val="1"/>
        <charset val="136"/>
      </rPr>
      <t>蔡亞璇</t>
    </r>
  </si>
  <si>
    <r>
      <rPr>
        <sz val="12"/>
        <rFont val="新細明體"/>
        <family val="1"/>
        <charset val="136"/>
      </rPr>
      <t>鄭鈺潔</t>
    </r>
  </si>
  <si>
    <r>
      <rPr>
        <sz val="12"/>
        <rFont val="新細明體"/>
        <family val="1"/>
        <charset val="136"/>
      </rPr>
      <t>楊伃婷</t>
    </r>
  </si>
  <si>
    <r>
      <rPr>
        <sz val="12"/>
        <rFont val="新細明體"/>
        <family val="1"/>
        <charset val="136"/>
      </rPr>
      <t>林宏信</t>
    </r>
  </si>
  <si>
    <r>
      <rPr>
        <sz val="12"/>
        <rFont val="新細明體"/>
        <family val="1"/>
        <charset val="136"/>
      </rPr>
      <t>陳虹穎</t>
    </r>
    <phoneticPr fontId="3" type="noConversion"/>
  </si>
  <si>
    <r>
      <rPr>
        <sz val="12"/>
        <rFont val="新細明體"/>
        <family val="1"/>
        <charset val="136"/>
      </rPr>
      <t>蔡昀潔</t>
    </r>
    <phoneticPr fontId="3" type="noConversion"/>
  </si>
  <si>
    <r>
      <rPr>
        <sz val="12"/>
        <rFont val="新細明體"/>
        <family val="1"/>
        <charset val="136"/>
      </rPr>
      <t>唐菀柔</t>
    </r>
  </si>
  <si>
    <r>
      <rPr>
        <sz val="12"/>
        <color rgb="FF000000"/>
        <rFont val="新細明體"/>
        <family val="1"/>
        <charset val="136"/>
      </rPr>
      <t>許育榮</t>
    </r>
    <phoneticPr fontId="3" type="noConversion"/>
  </si>
  <si>
    <r>
      <rPr>
        <sz val="12"/>
        <color rgb="FF000000"/>
        <rFont val="新細明體"/>
        <family val="1"/>
        <charset val="136"/>
      </rPr>
      <t>陳怡安</t>
    </r>
    <phoneticPr fontId="3" type="noConversion"/>
  </si>
  <si>
    <r>
      <t>6.104/10/31</t>
    </r>
    <r>
      <rPr>
        <sz val="12"/>
        <rFont val="新細明體"/>
        <family val="1"/>
        <charset val="136"/>
      </rPr>
      <t>參加校慶運動會</t>
    </r>
    <phoneticPr fontId="3" type="noConversion"/>
  </si>
  <si>
    <r>
      <t>7.105/12/9</t>
    </r>
    <r>
      <rPr>
        <sz val="12"/>
        <rFont val="新細明體"/>
        <family val="1"/>
        <charset val="136"/>
      </rPr>
      <t>參加企業參訪</t>
    </r>
    <phoneticPr fontId="3" type="noConversion"/>
  </si>
  <si>
    <r>
      <t>8.10501</t>
    </r>
    <r>
      <rPr>
        <sz val="12"/>
        <rFont val="新細明體"/>
        <family val="1"/>
        <charset val="136"/>
      </rPr>
      <t>學期參加「企業講座」，每場出席記一次</t>
    </r>
    <phoneticPr fontId="3" type="noConversion"/>
  </si>
  <si>
    <r>
      <t>9.10501</t>
    </r>
    <r>
      <rPr>
        <sz val="12"/>
        <rFont val="新細明體"/>
        <family val="1"/>
        <charset val="136"/>
      </rPr>
      <t>學期參加「職涯講座」</t>
    </r>
    <phoneticPr fontId="3" type="noConversion"/>
  </si>
  <si>
    <r>
      <t>10.10502</t>
    </r>
    <r>
      <rPr>
        <sz val="12"/>
        <rFont val="新細明體"/>
        <family val="1"/>
        <charset val="136"/>
      </rPr>
      <t>學期參加「職涯講座」</t>
    </r>
    <phoneticPr fontId="3" type="noConversion"/>
  </si>
  <si>
    <r>
      <t>11.10502</t>
    </r>
    <r>
      <rPr>
        <sz val="12"/>
        <rFont val="新細明體"/>
        <family val="1"/>
        <charset val="136"/>
      </rPr>
      <t>學期參加「麥當勞這麼做」</t>
    </r>
    <phoneticPr fontId="3" type="noConversion"/>
  </si>
  <si>
    <t>12.106/10/20參加職涯講座</t>
    <phoneticPr fontId="3" type="noConversion"/>
  </si>
  <si>
    <r>
      <t>13.106/12/08</t>
    </r>
    <r>
      <rPr>
        <sz val="12"/>
        <rFont val="新細明體"/>
        <family val="1"/>
        <charset val="136"/>
      </rPr>
      <t>參加企業參訪</t>
    </r>
    <phoneticPr fontId="3" type="noConversion"/>
  </si>
  <si>
    <r>
      <rPr>
        <sz val="12"/>
        <rFont val="新細明體"/>
        <family val="1"/>
        <charset val="136"/>
      </rPr>
      <t>目前累積最高點數：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</si>
  <si>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中位數</t>
    </r>
    <phoneticPr fontId="3" type="noConversion"/>
  </si>
  <si>
    <r>
      <t>1.103/9/16</t>
    </r>
    <r>
      <rPr>
        <sz val="12"/>
        <rFont val="新細明體"/>
        <family val="1"/>
        <charset val="136"/>
      </rPr>
      <t>班會</t>
    </r>
    <phoneticPr fontId="3" type="noConversion"/>
  </si>
  <si>
    <r>
      <t>2.103/10/25</t>
    </r>
    <r>
      <rPr>
        <sz val="12"/>
        <rFont val="新細明體"/>
        <family val="1"/>
        <charset val="136"/>
      </rPr>
      <t>參加校慶開幕</t>
    </r>
    <phoneticPr fontId="3" type="noConversion"/>
  </si>
  <si>
    <r>
      <t>3.2015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新細明體"/>
        <family val="1"/>
        <charset val="136"/>
      </rPr>
      <t>日舉辦「職涯講座」</t>
    </r>
    <phoneticPr fontId="3" type="noConversion"/>
  </si>
  <si>
    <r>
      <t>4.2015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日舉辦「職涯講座」</t>
    </r>
    <phoneticPr fontId="3" type="noConversion"/>
  </si>
  <si>
    <r>
      <t>5.104/10/3</t>
    </r>
    <r>
      <rPr>
        <sz val="12"/>
        <rFont val="新細明體"/>
        <family val="1"/>
        <charset val="136"/>
      </rPr>
      <t>參加「企業併購策略與實務」</t>
    </r>
    <phoneticPr fontId="3" type="noConversion"/>
  </si>
  <si>
    <r>
      <t xml:space="preserve">8. 106.9.13 </t>
    </r>
    <r>
      <rPr>
        <sz val="10"/>
        <rFont val="細明體"/>
        <family val="3"/>
        <charset val="136"/>
      </rPr>
      <t>班會出席</t>
    </r>
    <phoneticPr fontId="3" type="noConversion"/>
  </si>
  <si>
    <r>
      <t>9.107.5.16</t>
    </r>
    <r>
      <rPr>
        <sz val="12"/>
        <rFont val="細明體"/>
        <family val="3"/>
        <charset val="136"/>
      </rPr>
      <t>職涯講座</t>
    </r>
    <phoneticPr fontId="3" type="noConversion"/>
  </si>
  <si>
    <r>
      <t>9.107.5.16</t>
    </r>
    <r>
      <rPr>
        <sz val="12"/>
        <rFont val="細明體"/>
        <family val="3"/>
        <charset val="136"/>
      </rPr>
      <t>職涯講座</t>
    </r>
    <phoneticPr fontId="3" type="noConversion"/>
  </si>
  <si>
    <r>
      <t>14.107.5.16</t>
    </r>
    <r>
      <rPr>
        <sz val="12"/>
        <rFont val="細明體"/>
        <family val="3"/>
        <charset val="136"/>
      </rPr>
      <t>職涯講座</t>
    </r>
    <phoneticPr fontId="3" type="noConversion"/>
  </si>
  <si>
    <t>1.107.10.27</t>
    <phoneticPr fontId="3" type="noConversion"/>
  </si>
  <si>
    <t>周彥騏</t>
    <phoneticPr fontId="3" type="noConversion"/>
  </si>
  <si>
    <r>
      <t xml:space="preserve">10.107.12.7 </t>
    </r>
    <r>
      <rPr>
        <sz val="12"/>
        <rFont val="細明體"/>
        <family val="3"/>
        <charset val="136"/>
      </rPr>
      <t>參加企業參訪</t>
    </r>
    <phoneticPr fontId="3" type="noConversion"/>
  </si>
  <si>
    <t xml:space="preserve"> </t>
    <phoneticPr fontId="3" type="noConversion"/>
  </si>
  <si>
    <r>
      <t>10. 108/6/10</t>
    </r>
    <r>
      <rPr>
        <sz val="12"/>
        <rFont val="細明體"/>
        <family val="3"/>
        <charset val="136"/>
      </rPr>
      <t>參加職涯講座</t>
    </r>
    <phoneticPr fontId="3" type="noConversion"/>
  </si>
  <si>
    <r>
      <t>11. 108/6/10</t>
    </r>
    <r>
      <rPr>
        <sz val="12"/>
        <rFont val="細明體"/>
        <family val="3"/>
        <charset val="136"/>
      </rPr>
      <t>參加職涯講座</t>
    </r>
    <phoneticPr fontId="3" type="noConversion"/>
  </si>
  <si>
    <t>謝惠君</t>
    <phoneticPr fontId="3" type="noConversion"/>
  </si>
  <si>
    <t>林俞璇</t>
    <phoneticPr fontId="3" type="noConversion"/>
  </si>
  <si>
    <r>
      <rPr>
        <sz val="12"/>
        <rFont val="標楷體"/>
        <family val="4"/>
        <charset val="136"/>
      </rPr>
      <t>目前累積最高點數：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</si>
  <si>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學號</t>
    </r>
  </si>
  <si>
    <r>
      <rPr>
        <sz val="12"/>
        <rFont val="標楷體"/>
        <family val="4"/>
        <charset val="136"/>
      </rPr>
      <t>學生姓名</t>
    </r>
  </si>
  <si>
    <r>
      <rPr>
        <sz val="12"/>
        <rFont val="標楷體"/>
        <family val="4"/>
        <charset val="136"/>
      </rPr>
      <t>加總</t>
    </r>
    <phoneticPr fontId="3" type="noConversion"/>
  </si>
  <si>
    <r>
      <rPr>
        <sz val="12"/>
        <rFont val="標楷體"/>
        <family val="4"/>
        <charset val="136"/>
      </rPr>
      <t>林裕程</t>
    </r>
  </si>
  <si>
    <r>
      <rPr>
        <sz val="12"/>
        <rFont val="標楷體"/>
        <family val="4"/>
        <charset val="136"/>
      </rPr>
      <t>李虹誼</t>
    </r>
  </si>
  <si>
    <r>
      <rPr>
        <sz val="12"/>
        <rFont val="標楷體"/>
        <family val="4"/>
        <charset val="136"/>
      </rPr>
      <t>謝名怡</t>
    </r>
  </si>
  <si>
    <r>
      <rPr>
        <sz val="12"/>
        <rFont val="標楷體"/>
        <family val="4"/>
        <charset val="136"/>
      </rPr>
      <t>林嫦娥</t>
    </r>
  </si>
  <si>
    <r>
      <rPr>
        <sz val="12"/>
        <rFont val="標楷體"/>
        <family val="4"/>
        <charset val="136"/>
      </rPr>
      <t>李怡琳</t>
    </r>
  </si>
  <si>
    <r>
      <rPr>
        <sz val="12"/>
        <rFont val="標楷體"/>
        <family val="4"/>
        <charset val="136"/>
      </rPr>
      <t>張國禎</t>
    </r>
  </si>
  <si>
    <r>
      <rPr>
        <sz val="12"/>
        <rFont val="標楷體"/>
        <family val="4"/>
        <charset val="136"/>
      </rPr>
      <t>吳亞倢</t>
    </r>
  </si>
  <si>
    <r>
      <rPr>
        <sz val="12"/>
        <rFont val="標楷體"/>
        <family val="4"/>
        <charset val="136"/>
      </rPr>
      <t>盧禹皓</t>
    </r>
  </si>
  <si>
    <r>
      <rPr>
        <sz val="12"/>
        <rFont val="標楷體"/>
        <family val="4"/>
        <charset val="136"/>
      </rPr>
      <t>呂庭碩</t>
    </r>
  </si>
  <si>
    <r>
      <rPr>
        <sz val="12"/>
        <rFont val="標楷體"/>
        <family val="4"/>
        <charset val="136"/>
      </rPr>
      <t>蔡昆良</t>
    </r>
  </si>
  <si>
    <r>
      <rPr>
        <sz val="12"/>
        <rFont val="標楷體"/>
        <family val="4"/>
        <charset val="136"/>
      </rPr>
      <t>李佳臻</t>
    </r>
  </si>
  <si>
    <r>
      <rPr>
        <sz val="12"/>
        <rFont val="標楷體"/>
        <family val="4"/>
        <charset val="136"/>
      </rPr>
      <t>沈子洧</t>
    </r>
  </si>
  <si>
    <r>
      <rPr>
        <sz val="12"/>
        <rFont val="標楷體"/>
        <family val="4"/>
        <charset val="136"/>
      </rPr>
      <t>蔡雅媗</t>
    </r>
  </si>
  <si>
    <r>
      <rPr>
        <sz val="12"/>
        <rFont val="標楷體"/>
        <family val="4"/>
        <charset val="136"/>
      </rPr>
      <t>曾啟軒</t>
    </r>
  </si>
  <si>
    <r>
      <rPr>
        <sz val="12"/>
        <rFont val="標楷體"/>
        <family val="4"/>
        <charset val="136"/>
      </rPr>
      <t>李俊賢</t>
    </r>
    <phoneticPr fontId="13" type="noConversion"/>
  </si>
  <si>
    <r>
      <rPr>
        <sz val="12"/>
        <rFont val="標楷體"/>
        <family val="4"/>
        <charset val="136"/>
      </rPr>
      <t>林瑋涵</t>
    </r>
    <phoneticPr fontId="13" type="noConversion"/>
  </si>
  <si>
    <r>
      <rPr>
        <sz val="12"/>
        <rFont val="標楷體"/>
        <family val="4"/>
        <charset val="136"/>
      </rPr>
      <t>鄭向妤</t>
    </r>
  </si>
  <si>
    <r>
      <rPr>
        <sz val="12"/>
        <rFont val="標楷體"/>
        <family val="4"/>
        <charset val="136"/>
      </rPr>
      <t>黃郁雯</t>
    </r>
  </si>
  <si>
    <r>
      <rPr>
        <sz val="12"/>
        <rFont val="標楷體"/>
        <family val="4"/>
        <charset val="136"/>
      </rPr>
      <t>楊嘉宜</t>
    </r>
  </si>
  <si>
    <r>
      <rPr>
        <sz val="12"/>
        <rFont val="標楷體"/>
        <family val="4"/>
        <charset val="136"/>
      </rPr>
      <t>凃昱碩</t>
    </r>
    <phoneticPr fontId="13" type="noConversion"/>
  </si>
  <si>
    <r>
      <rPr>
        <sz val="12"/>
        <rFont val="標楷體"/>
        <family val="4"/>
        <charset val="136"/>
      </rPr>
      <t>謝佩甄</t>
    </r>
  </si>
  <si>
    <r>
      <rPr>
        <sz val="12"/>
        <rFont val="標楷體"/>
        <family val="4"/>
        <charset val="136"/>
      </rPr>
      <t>湯子龍</t>
    </r>
  </si>
  <si>
    <r>
      <rPr>
        <sz val="12"/>
        <rFont val="標楷體"/>
        <family val="4"/>
        <charset val="136"/>
      </rPr>
      <t>吳以勒</t>
    </r>
  </si>
  <si>
    <r>
      <rPr>
        <sz val="12"/>
        <rFont val="標楷體"/>
        <family val="4"/>
        <charset val="136"/>
      </rPr>
      <t>傅莘婷</t>
    </r>
  </si>
  <si>
    <r>
      <rPr>
        <sz val="12"/>
        <rFont val="標楷體"/>
        <family val="4"/>
        <charset val="136"/>
      </rPr>
      <t>葉智遠</t>
    </r>
  </si>
  <si>
    <r>
      <rPr>
        <sz val="12"/>
        <rFont val="標楷體"/>
        <family val="4"/>
        <charset val="136"/>
      </rPr>
      <t>朱世杰</t>
    </r>
    <phoneticPr fontId="13" type="noConversion"/>
  </si>
  <si>
    <r>
      <rPr>
        <sz val="12"/>
        <rFont val="標楷體"/>
        <family val="4"/>
        <charset val="136"/>
      </rPr>
      <t>沈　霆</t>
    </r>
  </si>
  <si>
    <r>
      <rPr>
        <sz val="12"/>
        <rFont val="標楷體"/>
        <family val="4"/>
        <charset val="136"/>
      </rPr>
      <t>史子為</t>
    </r>
  </si>
  <si>
    <r>
      <rPr>
        <sz val="12"/>
        <rFont val="標楷體"/>
        <family val="4"/>
        <charset val="136"/>
      </rPr>
      <t>彭柏瑄</t>
    </r>
  </si>
  <si>
    <r>
      <rPr>
        <sz val="12"/>
        <rFont val="標楷體"/>
        <family val="4"/>
        <charset val="136"/>
      </rPr>
      <t>許育瑄</t>
    </r>
  </si>
  <si>
    <r>
      <rPr>
        <sz val="12"/>
        <rFont val="標楷體"/>
        <family val="4"/>
        <charset val="136"/>
      </rPr>
      <t>李睿翔</t>
    </r>
  </si>
  <si>
    <r>
      <rPr>
        <sz val="12"/>
        <rFont val="標楷體"/>
        <family val="4"/>
        <charset val="136"/>
      </rPr>
      <t>劉承恩</t>
    </r>
  </si>
  <si>
    <r>
      <rPr>
        <sz val="12"/>
        <rFont val="標楷體"/>
        <family val="4"/>
        <charset val="136"/>
      </rPr>
      <t>韓鈜旭</t>
    </r>
  </si>
  <si>
    <r>
      <rPr>
        <sz val="12"/>
        <rFont val="標楷體"/>
        <family val="4"/>
        <charset val="136"/>
      </rPr>
      <t>張祐誠</t>
    </r>
  </si>
  <si>
    <r>
      <rPr>
        <sz val="12"/>
        <rFont val="標楷體"/>
        <family val="4"/>
        <charset val="136"/>
      </rPr>
      <t>張任妤</t>
    </r>
  </si>
  <si>
    <r>
      <rPr>
        <sz val="12"/>
        <rFont val="標楷體"/>
        <family val="4"/>
        <charset val="136"/>
      </rPr>
      <t>邱賢瑋</t>
    </r>
  </si>
  <si>
    <r>
      <rPr>
        <sz val="12"/>
        <rFont val="標楷體"/>
        <family val="4"/>
        <charset val="136"/>
      </rPr>
      <t>陳彥羽</t>
    </r>
  </si>
  <si>
    <r>
      <rPr>
        <sz val="12"/>
        <rFont val="標楷體"/>
        <family val="4"/>
        <charset val="136"/>
      </rPr>
      <t>鄭淇輿</t>
    </r>
  </si>
  <si>
    <r>
      <rPr>
        <sz val="12"/>
        <rFont val="標楷體"/>
        <family val="4"/>
        <charset val="136"/>
      </rPr>
      <t>洪子朋</t>
    </r>
  </si>
  <si>
    <r>
      <rPr>
        <sz val="12"/>
        <rFont val="標楷體"/>
        <family val="4"/>
        <charset val="136"/>
      </rPr>
      <t>林祐任</t>
    </r>
    <phoneticPr fontId="13" type="noConversion"/>
  </si>
  <si>
    <r>
      <rPr>
        <sz val="12"/>
        <rFont val="標楷體"/>
        <family val="4"/>
        <charset val="136"/>
      </rPr>
      <t>吳柏萱</t>
    </r>
  </si>
  <si>
    <r>
      <rPr>
        <sz val="12"/>
        <rFont val="標楷體"/>
        <family val="4"/>
        <charset val="136"/>
      </rPr>
      <t>賴威宇</t>
    </r>
  </si>
  <si>
    <r>
      <rPr>
        <sz val="12"/>
        <rFont val="標楷體"/>
        <family val="4"/>
        <charset val="136"/>
      </rPr>
      <t>王誼莙</t>
    </r>
  </si>
  <si>
    <r>
      <rPr>
        <sz val="12"/>
        <rFont val="標楷體"/>
        <family val="4"/>
        <charset val="136"/>
      </rPr>
      <t>吳晨瑋</t>
    </r>
    <phoneticPr fontId="13" type="noConversion"/>
  </si>
  <si>
    <r>
      <rPr>
        <sz val="12"/>
        <rFont val="標楷體"/>
        <family val="4"/>
        <charset val="136"/>
      </rPr>
      <t>劉承浩</t>
    </r>
  </si>
  <si>
    <r>
      <rPr>
        <sz val="12"/>
        <rFont val="標楷體"/>
        <family val="4"/>
        <charset val="136"/>
      </rPr>
      <t>黃詩庭</t>
    </r>
  </si>
  <si>
    <r>
      <rPr>
        <sz val="12"/>
        <rFont val="標楷體"/>
        <family val="4"/>
        <charset val="136"/>
      </rPr>
      <t>張耀榮</t>
    </r>
  </si>
  <si>
    <r>
      <rPr>
        <sz val="12"/>
        <rFont val="標楷體"/>
        <family val="4"/>
        <charset val="136"/>
      </rPr>
      <t>彭書暐</t>
    </r>
    <phoneticPr fontId="13" type="noConversion"/>
  </si>
  <si>
    <r>
      <rPr>
        <sz val="12"/>
        <rFont val="標楷體"/>
        <family val="4"/>
        <charset val="136"/>
      </rPr>
      <t>陳品亘</t>
    </r>
    <phoneticPr fontId="13" type="noConversion"/>
  </si>
  <si>
    <r>
      <rPr>
        <sz val="12"/>
        <rFont val="標楷體"/>
        <family val="4"/>
        <charset val="136"/>
      </rPr>
      <t>鄭睿中</t>
    </r>
  </si>
  <si>
    <r>
      <rPr>
        <sz val="12"/>
        <rFont val="標楷體"/>
        <family val="4"/>
        <charset val="136"/>
      </rPr>
      <t>趙柏勛</t>
    </r>
  </si>
  <si>
    <r>
      <rPr>
        <sz val="12"/>
        <rFont val="標楷體"/>
        <family val="4"/>
        <charset val="136"/>
      </rPr>
      <t>林　怡</t>
    </r>
    <phoneticPr fontId="13" type="noConversion"/>
  </si>
  <si>
    <r>
      <rPr>
        <sz val="12"/>
        <rFont val="標楷體"/>
        <family val="4"/>
        <charset val="136"/>
      </rPr>
      <t>鄭煥達</t>
    </r>
    <phoneticPr fontId="13" type="noConversion"/>
  </si>
  <si>
    <r>
      <rPr>
        <sz val="12"/>
        <rFont val="標楷體"/>
        <family val="4"/>
        <charset val="136"/>
      </rPr>
      <t>吳俊佑</t>
    </r>
  </si>
  <si>
    <r>
      <rPr>
        <sz val="12"/>
        <rFont val="標楷體"/>
        <family val="4"/>
        <charset val="136"/>
      </rPr>
      <t>陳奕彤</t>
    </r>
    <phoneticPr fontId="13" type="noConversion"/>
  </si>
  <si>
    <r>
      <rPr>
        <sz val="12"/>
        <rFont val="標楷體"/>
        <family val="4"/>
        <charset val="136"/>
      </rPr>
      <t>葉玟儀</t>
    </r>
    <phoneticPr fontId="13" type="noConversion"/>
  </si>
  <si>
    <r>
      <rPr>
        <sz val="12"/>
        <rFont val="標楷體"/>
        <family val="4"/>
        <charset val="136"/>
      </rPr>
      <t>張芳瑜</t>
    </r>
  </si>
  <si>
    <r>
      <rPr>
        <sz val="12"/>
        <rFont val="標楷體"/>
        <family val="4"/>
        <charset val="136"/>
      </rPr>
      <t>王睿騏</t>
    </r>
  </si>
  <si>
    <r>
      <rPr>
        <sz val="12"/>
        <rFont val="標楷體"/>
        <family val="4"/>
        <charset val="136"/>
      </rPr>
      <t>劉漢喆</t>
    </r>
    <phoneticPr fontId="13" type="noConversion"/>
  </si>
  <si>
    <r>
      <rPr>
        <sz val="12"/>
        <rFont val="標楷體"/>
        <family val="4"/>
        <charset val="136"/>
      </rPr>
      <t>蘇力麟</t>
    </r>
  </si>
  <si>
    <r>
      <rPr>
        <sz val="12"/>
        <rFont val="標楷體"/>
        <family val="4"/>
        <charset val="136"/>
      </rPr>
      <t>陳禹成</t>
    </r>
  </si>
  <si>
    <r>
      <rPr>
        <sz val="12"/>
        <rFont val="標楷體"/>
        <family val="4"/>
        <charset val="136"/>
      </rPr>
      <t>吳昇芳</t>
    </r>
  </si>
  <si>
    <r>
      <rPr>
        <sz val="12"/>
        <rFont val="標楷體"/>
        <family val="4"/>
        <charset val="136"/>
      </rPr>
      <t>陳宇安</t>
    </r>
  </si>
  <si>
    <r>
      <rPr>
        <sz val="12"/>
        <rFont val="標楷體"/>
        <family val="4"/>
        <charset val="136"/>
      </rPr>
      <t>李祺暢</t>
    </r>
  </si>
  <si>
    <r>
      <rPr>
        <sz val="12"/>
        <rFont val="標楷體"/>
        <family val="4"/>
        <charset val="136"/>
      </rPr>
      <t>黃靖芸</t>
    </r>
  </si>
  <si>
    <r>
      <rPr>
        <sz val="12"/>
        <rFont val="標楷體"/>
        <family val="4"/>
        <charset val="136"/>
      </rPr>
      <t>呂易芯</t>
    </r>
  </si>
  <si>
    <r>
      <rPr>
        <sz val="12"/>
        <rFont val="標楷體"/>
        <family val="4"/>
        <charset val="136"/>
      </rPr>
      <t>林佳諺</t>
    </r>
  </si>
  <si>
    <r>
      <rPr>
        <sz val="12"/>
        <rFont val="標楷體"/>
        <family val="4"/>
        <charset val="136"/>
      </rPr>
      <t>吳翊詳</t>
    </r>
  </si>
  <si>
    <r>
      <rPr>
        <sz val="12"/>
        <rFont val="標楷體"/>
        <family val="4"/>
        <charset val="136"/>
      </rPr>
      <t>朱昱璇</t>
    </r>
  </si>
  <si>
    <r>
      <rPr>
        <sz val="12"/>
        <rFont val="標楷體"/>
        <family val="4"/>
        <charset val="136"/>
      </rPr>
      <t>簡子翔</t>
    </r>
  </si>
  <si>
    <r>
      <rPr>
        <sz val="12"/>
        <rFont val="標楷體"/>
        <family val="4"/>
        <charset val="136"/>
      </rPr>
      <t>許延彰</t>
    </r>
  </si>
  <si>
    <r>
      <rPr>
        <sz val="12"/>
        <rFont val="標楷體"/>
        <family val="4"/>
        <charset val="136"/>
      </rPr>
      <t>林柏宇</t>
    </r>
  </si>
  <si>
    <r>
      <rPr>
        <sz val="12"/>
        <rFont val="標楷體"/>
        <family val="4"/>
        <charset val="136"/>
      </rPr>
      <t>王泳麒</t>
    </r>
  </si>
  <si>
    <r>
      <rPr>
        <sz val="12"/>
        <rFont val="標楷體"/>
        <family val="4"/>
        <charset val="136"/>
      </rPr>
      <t>張珮詩</t>
    </r>
  </si>
  <si>
    <r>
      <rPr>
        <sz val="12"/>
        <rFont val="標楷體"/>
        <family val="4"/>
        <charset val="136"/>
      </rPr>
      <t>陳文軒</t>
    </r>
  </si>
  <si>
    <r>
      <rPr>
        <sz val="12"/>
        <rFont val="標楷體"/>
        <family val="4"/>
        <charset val="136"/>
      </rPr>
      <t>胡智馥</t>
    </r>
  </si>
  <si>
    <r>
      <rPr>
        <sz val="12"/>
        <rFont val="標楷體"/>
        <family val="4"/>
        <charset val="136"/>
      </rPr>
      <t>詹立邦</t>
    </r>
  </si>
  <si>
    <r>
      <rPr>
        <sz val="12"/>
        <rFont val="標楷體"/>
        <family val="4"/>
        <charset val="136"/>
      </rPr>
      <t>劉子睿</t>
    </r>
  </si>
  <si>
    <r>
      <rPr>
        <sz val="12"/>
        <rFont val="標楷體"/>
        <family val="4"/>
        <charset val="136"/>
      </rPr>
      <t>黃子容</t>
    </r>
  </si>
  <si>
    <r>
      <rPr>
        <sz val="12"/>
        <rFont val="標楷體"/>
        <family val="4"/>
        <charset val="136"/>
      </rPr>
      <t>楊宗翰</t>
    </r>
  </si>
  <si>
    <r>
      <rPr>
        <sz val="12"/>
        <rFont val="標楷體"/>
        <family val="4"/>
        <charset val="136"/>
      </rPr>
      <t>劉鎮宇</t>
    </r>
  </si>
  <si>
    <r>
      <rPr>
        <sz val="12"/>
        <rFont val="標楷體"/>
        <family val="4"/>
        <charset val="136"/>
      </rPr>
      <t>吳雅儒</t>
    </r>
  </si>
  <si>
    <r>
      <rPr>
        <sz val="12"/>
        <rFont val="標楷體"/>
        <family val="4"/>
        <charset val="136"/>
      </rPr>
      <t>周煜城</t>
    </r>
  </si>
  <si>
    <r>
      <rPr>
        <sz val="12"/>
        <rFont val="標楷體"/>
        <family val="4"/>
        <charset val="136"/>
      </rPr>
      <t>李昌恩</t>
    </r>
  </si>
  <si>
    <r>
      <rPr>
        <sz val="12"/>
        <rFont val="標楷體"/>
        <family val="4"/>
        <charset val="136"/>
      </rPr>
      <t>許茹婷</t>
    </r>
  </si>
  <si>
    <r>
      <rPr>
        <sz val="12"/>
        <rFont val="標楷體"/>
        <family val="4"/>
        <charset val="136"/>
      </rPr>
      <t>侯俊佑</t>
    </r>
  </si>
  <si>
    <r>
      <rPr>
        <sz val="12"/>
        <rFont val="標楷體"/>
        <family val="4"/>
        <charset val="136"/>
      </rPr>
      <t>鄭佐民</t>
    </r>
  </si>
  <si>
    <r>
      <rPr>
        <sz val="12"/>
        <rFont val="標楷體"/>
        <family val="4"/>
        <charset val="136"/>
      </rPr>
      <t>洪郁翔</t>
    </r>
  </si>
  <si>
    <r>
      <rPr>
        <sz val="12"/>
        <rFont val="標楷體"/>
        <family val="4"/>
        <charset val="136"/>
      </rPr>
      <t>蔡孟勳</t>
    </r>
  </si>
  <si>
    <r>
      <rPr>
        <sz val="12"/>
        <rFont val="標楷體"/>
        <family val="4"/>
        <charset val="136"/>
      </rPr>
      <t>王爰君</t>
    </r>
  </si>
  <si>
    <r>
      <rPr>
        <sz val="12"/>
        <rFont val="標楷體"/>
        <family val="4"/>
        <charset val="136"/>
      </rPr>
      <t>王湘婷</t>
    </r>
  </si>
  <si>
    <r>
      <rPr>
        <sz val="12"/>
        <rFont val="標楷體"/>
        <family val="4"/>
        <charset val="136"/>
      </rPr>
      <t>中位數</t>
    </r>
    <phoneticPr fontId="3" type="noConversion"/>
  </si>
  <si>
    <r>
      <t>1.108.10.26</t>
    </r>
    <r>
      <rPr>
        <sz val="12"/>
        <rFont val="標楷體"/>
        <family val="4"/>
        <charset val="136"/>
      </rPr>
      <t>校慶繞場</t>
    </r>
    <phoneticPr fontId="3" type="noConversion"/>
  </si>
  <si>
    <r>
      <rPr>
        <sz val="12"/>
        <rFont val="標楷體"/>
        <family val="4"/>
        <charset val="136"/>
      </rPr>
      <t>王禹媃</t>
    </r>
    <phoneticPr fontId="13" type="noConversion"/>
  </si>
  <si>
    <r>
      <rPr>
        <sz val="12"/>
        <rFont val="標楷體"/>
        <family val="4"/>
        <charset val="136"/>
      </rPr>
      <t>李沐軒</t>
    </r>
    <phoneticPr fontId="13" type="noConversion"/>
  </si>
  <si>
    <r>
      <rPr>
        <sz val="12"/>
        <rFont val="標楷體"/>
        <family val="4"/>
        <charset val="136"/>
      </rPr>
      <t>張菡家</t>
    </r>
  </si>
  <si>
    <r>
      <rPr>
        <sz val="12"/>
        <rFont val="標楷體"/>
        <family val="4"/>
        <charset val="136"/>
      </rPr>
      <t>張可融</t>
    </r>
  </si>
  <si>
    <r>
      <rPr>
        <sz val="12"/>
        <rFont val="標楷體"/>
        <family val="4"/>
        <charset val="136"/>
      </rPr>
      <t>蕭家程</t>
    </r>
  </si>
  <si>
    <r>
      <rPr>
        <sz val="12"/>
        <rFont val="標楷體"/>
        <family val="4"/>
        <charset val="136"/>
      </rPr>
      <t>徐敏禎</t>
    </r>
  </si>
  <si>
    <r>
      <rPr>
        <sz val="12"/>
        <rFont val="標楷體"/>
        <family val="4"/>
        <charset val="136"/>
      </rPr>
      <t>謝佳穎</t>
    </r>
  </si>
  <si>
    <r>
      <rPr>
        <sz val="12"/>
        <rFont val="標楷體"/>
        <family val="4"/>
        <charset val="136"/>
      </rPr>
      <t>黃俊銘</t>
    </r>
  </si>
  <si>
    <r>
      <rPr>
        <sz val="12"/>
        <rFont val="標楷體"/>
        <family val="4"/>
        <charset val="136"/>
      </rPr>
      <t>郭哲瑋</t>
    </r>
  </si>
  <si>
    <r>
      <rPr>
        <sz val="12"/>
        <rFont val="標楷體"/>
        <family val="4"/>
        <charset val="136"/>
      </rPr>
      <t>羅維華</t>
    </r>
    <phoneticPr fontId="13" type="noConversion"/>
  </si>
  <si>
    <r>
      <rPr>
        <sz val="12"/>
        <rFont val="標楷體"/>
        <family val="4"/>
        <charset val="136"/>
      </rPr>
      <t>柳佳妤</t>
    </r>
  </si>
  <si>
    <r>
      <rPr>
        <sz val="12"/>
        <rFont val="標楷體"/>
        <family val="4"/>
        <charset val="136"/>
      </rPr>
      <t>孫　安</t>
    </r>
  </si>
  <si>
    <r>
      <rPr>
        <sz val="12"/>
        <rFont val="標楷體"/>
        <family val="4"/>
        <charset val="136"/>
      </rPr>
      <t>李冠瑩</t>
    </r>
  </si>
  <si>
    <r>
      <rPr>
        <sz val="12"/>
        <rFont val="標楷體"/>
        <family val="4"/>
        <charset val="136"/>
      </rPr>
      <t>卓子琪</t>
    </r>
    <phoneticPr fontId="13" type="noConversion"/>
  </si>
  <si>
    <r>
      <rPr>
        <sz val="12"/>
        <rFont val="標楷體"/>
        <family val="4"/>
        <charset val="136"/>
      </rPr>
      <t>陳惠宇</t>
    </r>
    <phoneticPr fontId="13" type="noConversion"/>
  </si>
  <si>
    <r>
      <rPr>
        <sz val="12"/>
        <rFont val="標楷體"/>
        <family val="4"/>
        <charset val="136"/>
      </rPr>
      <t>翁韵涵</t>
    </r>
    <phoneticPr fontId="13" type="noConversion"/>
  </si>
  <si>
    <r>
      <rPr>
        <sz val="12"/>
        <rFont val="標楷體"/>
        <family val="4"/>
        <charset val="136"/>
      </rPr>
      <t>連朔亨</t>
    </r>
  </si>
  <si>
    <r>
      <rPr>
        <sz val="12"/>
        <rFont val="標楷體"/>
        <family val="4"/>
        <charset val="136"/>
      </rPr>
      <t>鄭智永</t>
    </r>
  </si>
  <si>
    <r>
      <rPr>
        <sz val="12"/>
        <rFont val="標楷體"/>
        <family val="4"/>
        <charset val="136"/>
      </rPr>
      <t>鄭聖一</t>
    </r>
    <phoneticPr fontId="13" type="noConversion"/>
  </si>
  <si>
    <r>
      <rPr>
        <sz val="12"/>
        <rFont val="標楷體"/>
        <family val="4"/>
        <charset val="136"/>
      </rPr>
      <t>何欣縈</t>
    </r>
  </si>
  <si>
    <r>
      <rPr>
        <sz val="12"/>
        <rFont val="標楷體"/>
        <family val="4"/>
        <charset val="136"/>
      </rPr>
      <t>徐于婷</t>
    </r>
  </si>
  <si>
    <r>
      <rPr>
        <sz val="12"/>
        <rFont val="標楷體"/>
        <family val="4"/>
        <charset val="136"/>
      </rPr>
      <t>游棫棨</t>
    </r>
    <phoneticPr fontId="13" type="noConversion"/>
  </si>
  <si>
    <r>
      <rPr>
        <sz val="12"/>
        <rFont val="標楷體"/>
        <family val="4"/>
        <charset val="136"/>
      </rPr>
      <t>林震洋</t>
    </r>
  </si>
  <si>
    <r>
      <rPr>
        <sz val="12"/>
        <rFont val="標楷體"/>
        <family val="4"/>
        <charset val="136"/>
      </rPr>
      <t>李怡靜</t>
    </r>
    <phoneticPr fontId="13" type="noConversion"/>
  </si>
  <si>
    <r>
      <rPr>
        <sz val="12"/>
        <rFont val="標楷體"/>
        <family val="4"/>
        <charset val="136"/>
      </rPr>
      <t>簡子欣</t>
    </r>
    <phoneticPr fontId="13" type="noConversion"/>
  </si>
  <si>
    <r>
      <rPr>
        <sz val="12"/>
        <rFont val="標楷體"/>
        <family val="4"/>
        <charset val="136"/>
      </rPr>
      <t>蘇柏睿</t>
    </r>
  </si>
  <si>
    <r>
      <rPr>
        <sz val="12"/>
        <rFont val="標楷體"/>
        <family val="4"/>
        <charset val="136"/>
      </rPr>
      <t>魏浚益</t>
    </r>
  </si>
  <si>
    <r>
      <rPr>
        <sz val="12"/>
        <rFont val="標楷體"/>
        <family val="4"/>
        <charset val="136"/>
      </rPr>
      <t>曾韋嘉</t>
    </r>
  </si>
  <si>
    <r>
      <rPr>
        <sz val="12"/>
        <rFont val="標楷體"/>
        <family val="4"/>
        <charset val="136"/>
      </rPr>
      <t>張淇雯</t>
    </r>
    <phoneticPr fontId="13" type="noConversion"/>
  </si>
  <si>
    <r>
      <rPr>
        <sz val="12"/>
        <rFont val="標楷體"/>
        <family val="4"/>
        <charset val="136"/>
      </rPr>
      <t>梁軒語</t>
    </r>
  </si>
  <si>
    <r>
      <rPr>
        <sz val="12"/>
        <rFont val="標楷體"/>
        <family val="4"/>
        <charset val="136"/>
      </rPr>
      <t>何宜真</t>
    </r>
    <phoneticPr fontId="13" type="noConversion"/>
  </si>
  <si>
    <r>
      <rPr>
        <sz val="12"/>
        <rFont val="標楷體"/>
        <family val="4"/>
        <charset val="136"/>
      </rPr>
      <t>胡鐘云</t>
    </r>
  </si>
  <si>
    <r>
      <rPr>
        <sz val="12"/>
        <rFont val="標楷體"/>
        <family val="4"/>
        <charset val="136"/>
      </rPr>
      <t>鍾佳沛</t>
    </r>
    <phoneticPr fontId="13" type="noConversion"/>
  </si>
  <si>
    <r>
      <rPr>
        <sz val="12"/>
        <rFont val="標楷體"/>
        <family val="4"/>
        <charset val="136"/>
      </rPr>
      <t>劉翰文</t>
    </r>
  </si>
  <si>
    <r>
      <rPr>
        <sz val="12"/>
        <rFont val="標楷體"/>
        <family val="4"/>
        <charset val="136"/>
      </rPr>
      <t>林凡瑩</t>
    </r>
  </si>
  <si>
    <r>
      <rPr>
        <sz val="12"/>
        <rFont val="標楷體"/>
        <family val="4"/>
        <charset val="136"/>
      </rPr>
      <t>黃允軒</t>
    </r>
  </si>
  <si>
    <r>
      <rPr>
        <sz val="12"/>
        <rFont val="標楷體"/>
        <family val="4"/>
        <charset val="136"/>
      </rPr>
      <t>鄭娜莎</t>
    </r>
    <phoneticPr fontId="13" type="noConversion"/>
  </si>
  <si>
    <r>
      <rPr>
        <sz val="12"/>
        <rFont val="標楷體"/>
        <family val="4"/>
        <charset val="136"/>
      </rPr>
      <t>廖奕昕</t>
    </r>
  </si>
  <si>
    <r>
      <rPr>
        <sz val="12"/>
        <rFont val="標楷體"/>
        <family val="4"/>
        <charset val="136"/>
      </rPr>
      <t>梁博堯</t>
    </r>
  </si>
  <si>
    <r>
      <rPr>
        <sz val="12"/>
        <rFont val="標楷體"/>
        <family val="4"/>
        <charset val="136"/>
      </rPr>
      <t>陳虹云</t>
    </r>
  </si>
  <si>
    <r>
      <rPr>
        <sz val="12"/>
        <rFont val="標楷體"/>
        <family val="4"/>
        <charset val="136"/>
      </rPr>
      <t>胡詠荃</t>
    </r>
  </si>
  <si>
    <r>
      <rPr>
        <sz val="12"/>
        <rFont val="標楷體"/>
        <family val="4"/>
        <charset val="136"/>
      </rPr>
      <t>楊予禛</t>
    </r>
  </si>
  <si>
    <r>
      <rPr>
        <sz val="12"/>
        <rFont val="標楷體"/>
        <family val="4"/>
        <charset val="136"/>
      </rPr>
      <t>束良鴻</t>
    </r>
  </si>
  <si>
    <r>
      <rPr>
        <sz val="12"/>
        <rFont val="標楷體"/>
        <family val="4"/>
        <charset val="136"/>
      </rPr>
      <t>鄭元愷</t>
    </r>
  </si>
  <si>
    <r>
      <rPr>
        <sz val="12"/>
        <rFont val="標楷體"/>
        <family val="4"/>
        <charset val="136"/>
      </rPr>
      <t>林庭安</t>
    </r>
  </si>
  <si>
    <r>
      <rPr>
        <sz val="12"/>
        <rFont val="標楷體"/>
        <family val="4"/>
        <charset val="136"/>
      </rPr>
      <t>黃柏融</t>
    </r>
  </si>
  <si>
    <r>
      <rPr>
        <sz val="12"/>
        <rFont val="標楷體"/>
        <family val="4"/>
        <charset val="136"/>
      </rPr>
      <t>周宜緣</t>
    </r>
  </si>
  <si>
    <r>
      <rPr>
        <sz val="12"/>
        <rFont val="標楷體"/>
        <family val="4"/>
        <charset val="136"/>
      </rPr>
      <t>陳淇奧</t>
    </r>
  </si>
  <si>
    <r>
      <rPr>
        <sz val="12"/>
        <rFont val="標楷體"/>
        <family val="4"/>
        <charset val="136"/>
      </rPr>
      <t>劉軒宇</t>
    </r>
  </si>
  <si>
    <r>
      <rPr>
        <sz val="12"/>
        <rFont val="標楷體"/>
        <family val="4"/>
        <charset val="136"/>
      </rPr>
      <t>程語涵</t>
    </r>
  </si>
  <si>
    <r>
      <rPr>
        <sz val="12"/>
        <rFont val="標楷體"/>
        <family val="4"/>
        <charset val="136"/>
      </rPr>
      <t>賴郁茹</t>
    </r>
  </si>
  <si>
    <r>
      <rPr>
        <sz val="12"/>
        <rFont val="標楷體"/>
        <family val="4"/>
        <charset val="136"/>
      </rPr>
      <t>林翊晴</t>
    </r>
  </si>
  <si>
    <r>
      <rPr>
        <sz val="12"/>
        <rFont val="標楷體"/>
        <family val="4"/>
        <charset val="136"/>
      </rPr>
      <t>李尚宸</t>
    </r>
  </si>
  <si>
    <r>
      <rPr>
        <sz val="12"/>
        <rFont val="標楷體"/>
        <family val="4"/>
        <charset val="136"/>
      </rPr>
      <t>黃禹瑄</t>
    </r>
  </si>
  <si>
    <r>
      <rPr>
        <sz val="12"/>
        <rFont val="標楷體"/>
        <family val="4"/>
        <charset val="136"/>
      </rPr>
      <t>廖昭宜</t>
    </r>
  </si>
  <si>
    <r>
      <rPr>
        <sz val="12"/>
        <rFont val="標楷體"/>
        <family val="4"/>
        <charset val="136"/>
      </rPr>
      <t>劉浩揚</t>
    </r>
  </si>
  <si>
    <r>
      <rPr>
        <sz val="12"/>
        <rFont val="標楷體"/>
        <family val="4"/>
        <charset val="136"/>
      </rPr>
      <t>薛湘瑢</t>
    </r>
  </si>
  <si>
    <r>
      <rPr>
        <sz val="12"/>
        <rFont val="標楷體"/>
        <family val="4"/>
        <charset val="136"/>
      </rPr>
      <t>李宜儒</t>
    </r>
  </si>
  <si>
    <r>
      <rPr>
        <sz val="12"/>
        <rFont val="標楷體"/>
        <family val="4"/>
        <charset val="136"/>
      </rPr>
      <t>許端家</t>
    </r>
  </si>
  <si>
    <r>
      <rPr>
        <sz val="12"/>
        <rFont val="標楷體"/>
        <family val="4"/>
        <charset val="136"/>
      </rPr>
      <t>陳軒裕</t>
    </r>
  </si>
  <si>
    <r>
      <rPr>
        <sz val="12"/>
        <rFont val="標楷體"/>
        <family val="4"/>
        <charset val="136"/>
      </rPr>
      <t>余尚桓</t>
    </r>
  </si>
  <si>
    <r>
      <rPr>
        <sz val="12"/>
        <rFont val="標楷體"/>
        <family val="4"/>
        <charset val="136"/>
      </rPr>
      <t>劉韋華</t>
    </r>
  </si>
  <si>
    <r>
      <rPr>
        <sz val="12"/>
        <rFont val="標楷體"/>
        <family val="4"/>
        <charset val="136"/>
      </rPr>
      <t>柯曉寒</t>
    </r>
  </si>
  <si>
    <r>
      <rPr>
        <sz val="12"/>
        <rFont val="標楷體"/>
        <family val="4"/>
        <charset val="136"/>
      </rPr>
      <t>邱宇柔</t>
    </r>
    <phoneticPr fontId="13" type="noConversion"/>
  </si>
  <si>
    <r>
      <rPr>
        <sz val="12"/>
        <rFont val="標楷體"/>
        <family val="4"/>
        <charset val="136"/>
      </rPr>
      <t>顏嘉瑩</t>
    </r>
  </si>
  <si>
    <r>
      <rPr>
        <sz val="12"/>
        <rFont val="標楷體"/>
        <family val="4"/>
        <charset val="136"/>
      </rPr>
      <t>李信漢</t>
    </r>
  </si>
  <si>
    <r>
      <rPr>
        <sz val="12"/>
        <rFont val="標楷體"/>
        <family val="4"/>
        <charset val="136"/>
      </rPr>
      <t>韓沛芷</t>
    </r>
  </si>
  <si>
    <r>
      <rPr>
        <sz val="12"/>
        <rFont val="標楷體"/>
        <family val="4"/>
        <charset val="136"/>
      </rPr>
      <t>莊宜倫</t>
    </r>
  </si>
  <si>
    <r>
      <rPr>
        <sz val="12"/>
        <rFont val="標楷體"/>
        <family val="4"/>
        <charset val="136"/>
      </rPr>
      <t>黃郁婷</t>
    </r>
    <phoneticPr fontId="13" type="noConversion"/>
  </si>
  <si>
    <r>
      <rPr>
        <sz val="12"/>
        <rFont val="標楷體"/>
        <family val="4"/>
        <charset val="136"/>
      </rPr>
      <t>鍾妤昀</t>
    </r>
  </si>
  <si>
    <r>
      <rPr>
        <sz val="12"/>
        <rFont val="標楷體"/>
        <family val="4"/>
        <charset val="136"/>
      </rPr>
      <t>黃珮瑜</t>
    </r>
  </si>
  <si>
    <r>
      <rPr>
        <sz val="12"/>
        <rFont val="標楷體"/>
        <family val="4"/>
        <charset val="136"/>
      </rPr>
      <t>陳欣慧</t>
    </r>
  </si>
  <si>
    <r>
      <rPr>
        <sz val="12"/>
        <rFont val="標楷體"/>
        <family val="4"/>
        <charset val="136"/>
      </rPr>
      <t>柯鈞喨</t>
    </r>
    <phoneticPr fontId="13" type="noConversion"/>
  </si>
  <si>
    <r>
      <rPr>
        <sz val="12"/>
        <rFont val="標楷體"/>
        <family val="4"/>
        <charset val="136"/>
      </rPr>
      <t>洪頤恬</t>
    </r>
  </si>
  <si>
    <r>
      <rPr>
        <sz val="12"/>
        <rFont val="標楷體"/>
        <family val="4"/>
        <charset val="136"/>
      </rPr>
      <t>江彥亨</t>
    </r>
  </si>
  <si>
    <r>
      <rPr>
        <sz val="12"/>
        <rFont val="標楷體"/>
        <family val="4"/>
        <charset val="136"/>
      </rPr>
      <t>陳柯蒲</t>
    </r>
    <phoneticPr fontId="13" type="noConversion"/>
  </si>
  <si>
    <r>
      <rPr>
        <sz val="12"/>
        <rFont val="標楷體"/>
        <family val="4"/>
        <charset val="136"/>
      </rPr>
      <t>詹沂瑾</t>
    </r>
  </si>
  <si>
    <r>
      <rPr>
        <sz val="12"/>
        <rFont val="標楷體"/>
        <family val="4"/>
        <charset val="136"/>
      </rPr>
      <t>沈哲賓</t>
    </r>
  </si>
  <si>
    <r>
      <rPr>
        <sz val="12"/>
        <rFont val="標楷體"/>
        <family val="4"/>
        <charset val="136"/>
      </rPr>
      <t>鄭元睿</t>
    </r>
  </si>
  <si>
    <r>
      <rPr>
        <sz val="12"/>
        <rFont val="標楷體"/>
        <family val="4"/>
        <charset val="136"/>
      </rPr>
      <t>林汶生</t>
    </r>
  </si>
  <si>
    <r>
      <rPr>
        <sz val="12"/>
        <rFont val="標楷體"/>
        <family val="4"/>
        <charset val="136"/>
      </rPr>
      <t>張翊筠</t>
    </r>
  </si>
  <si>
    <r>
      <rPr>
        <sz val="12"/>
        <rFont val="標楷體"/>
        <family val="4"/>
        <charset val="136"/>
      </rPr>
      <t>李冠霖</t>
    </r>
  </si>
  <si>
    <r>
      <rPr>
        <sz val="12"/>
        <rFont val="標楷體"/>
        <family val="4"/>
        <charset val="136"/>
      </rPr>
      <t>王乙妃</t>
    </r>
  </si>
  <si>
    <r>
      <rPr>
        <sz val="12"/>
        <rFont val="標楷體"/>
        <family val="4"/>
        <charset val="136"/>
      </rPr>
      <t>徐綺蔓</t>
    </r>
  </si>
  <si>
    <r>
      <rPr>
        <sz val="12"/>
        <rFont val="標楷體"/>
        <family val="4"/>
        <charset val="136"/>
      </rPr>
      <t>林新祐</t>
    </r>
  </si>
  <si>
    <r>
      <rPr>
        <sz val="12"/>
        <rFont val="標楷體"/>
        <family val="4"/>
        <charset val="136"/>
      </rPr>
      <t>蕭云宣</t>
    </r>
  </si>
  <si>
    <r>
      <rPr>
        <sz val="12"/>
        <rFont val="標楷體"/>
        <family val="4"/>
        <charset val="136"/>
      </rPr>
      <t>施又慈</t>
    </r>
  </si>
  <si>
    <r>
      <rPr>
        <sz val="12"/>
        <rFont val="標楷體"/>
        <family val="4"/>
        <charset val="136"/>
      </rPr>
      <t>林嵩傑</t>
    </r>
    <phoneticPr fontId="13" type="noConversion"/>
  </si>
  <si>
    <r>
      <rPr>
        <sz val="12"/>
        <rFont val="標楷體"/>
        <family val="4"/>
        <charset val="136"/>
      </rPr>
      <t>黎景浚</t>
    </r>
  </si>
  <si>
    <r>
      <rPr>
        <sz val="12"/>
        <rFont val="標楷體"/>
        <family val="4"/>
        <charset val="136"/>
      </rPr>
      <t>陳俊豪</t>
    </r>
  </si>
  <si>
    <r>
      <rPr>
        <sz val="12"/>
        <rFont val="標楷體"/>
        <family val="4"/>
        <charset val="136"/>
      </rPr>
      <t>陳寶玲</t>
    </r>
  </si>
  <si>
    <r>
      <rPr>
        <sz val="12"/>
        <rFont val="標楷體"/>
        <family val="4"/>
        <charset val="136"/>
      </rPr>
      <t>蘇慧淨</t>
    </r>
    <phoneticPr fontId="13" type="noConversion"/>
  </si>
  <si>
    <r>
      <rPr>
        <sz val="12"/>
        <rFont val="標楷體"/>
        <family val="4"/>
        <charset val="136"/>
      </rPr>
      <t>吳翔詠</t>
    </r>
  </si>
  <si>
    <r>
      <rPr>
        <sz val="12"/>
        <rFont val="標楷體"/>
        <family val="4"/>
        <charset val="136"/>
      </rPr>
      <t>張宇哲</t>
    </r>
    <phoneticPr fontId="13" type="noConversion"/>
  </si>
  <si>
    <r>
      <rPr>
        <sz val="12"/>
        <rFont val="標楷體"/>
        <family val="4"/>
        <charset val="136"/>
      </rPr>
      <t>盧品璇</t>
    </r>
    <phoneticPr fontId="13" type="noConversion"/>
  </si>
  <si>
    <r>
      <rPr>
        <sz val="12"/>
        <rFont val="標楷體"/>
        <family val="4"/>
        <charset val="136"/>
      </rPr>
      <t>林玉智</t>
    </r>
  </si>
  <si>
    <r>
      <rPr>
        <sz val="12"/>
        <rFont val="標楷體"/>
        <family val="4"/>
        <charset val="136"/>
      </rPr>
      <t>劉棠宣</t>
    </r>
  </si>
  <si>
    <r>
      <rPr>
        <sz val="12"/>
        <rFont val="標楷體"/>
        <family val="4"/>
        <charset val="136"/>
      </rPr>
      <t>程宇禎</t>
    </r>
  </si>
  <si>
    <r>
      <rPr>
        <sz val="12"/>
        <rFont val="標楷體"/>
        <family val="4"/>
        <charset val="136"/>
      </rPr>
      <t>唐嘉成</t>
    </r>
  </si>
  <si>
    <r>
      <rPr>
        <sz val="12"/>
        <rFont val="標楷體"/>
        <family val="4"/>
        <charset val="136"/>
      </rPr>
      <t>郭宸銘</t>
    </r>
  </si>
  <si>
    <r>
      <rPr>
        <sz val="12"/>
        <rFont val="標楷體"/>
        <family val="4"/>
        <charset val="136"/>
      </rPr>
      <t>黃仕鴻</t>
    </r>
  </si>
  <si>
    <r>
      <rPr>
        <sz val="12"/>
        <rFont val="標楷體"/>
        <family val="4"/>
        <charset val="136"/>
      </rPr>
      <t>吳晨瑋</t>
    </r>
  </si>
  <si>
    <r>
      <rPr>
        <sz val="12"/>
        <rFont val="標楷體"/>
        <family val="4"/>
        <charset val="136"/>
      </rPr>
      <t>王映雯</t>
    </r>
  </si>
  <si>
    <r>
      <rPr>
        <sz val="12"/>
        <rFont val="標楷體"/>
        <family val="4"/>
        <charset val="136"/>
      </rPr>
      <t>高偉倫</t>
    </r>
  </si>
  <si>
    <r>
      <rPr>
        <sz val="12"/>
        <rFont val="標楷體"/>
        <family val="4"/>
        <charset val="136"/>
      </rPr>
      <t>黃安榕</t>
    </r>
    <phoneticPr fontId="13" type="noConversion"/>
  </si>
  <si>
    <r>
      <rPr>
        <sz val="12"/>
        <rFont val="標楷體"/>
        <family val="4"/>
        <charset val="136"/>
      </rPr>
      <t>馮紹睿</t>
    </r>
  </si>
  <si>
    <r>
      <rPr>
        <sz val="12"/>
        <rFont val="標楷體"/>
        <family val="4"/>
        <charset val="136"/>
      </rPr>
      <t>蕭宇竣</t>
    </r>
  </si>
  <si>
    <r>
      <rPr>
        <sz val="12"/>
        <rFont val="標楷體"/>
        <family val="4"/>
        <charset val="136"/>
      </rPr>
      <t>蕭至翔</t>
    </r>
  </si>
  <si>
    <r>
      <rPr>
        <sz val="12"/>
        <rFont val="標楷體"/>
        <family val="4"/>
        <charset val="136"/>
      </rPr>
      <t>馮紀維</t>
    </r>
  </si>
  <si>
    <r>
      <rPr>
        <sz val="12"/>
        <rFont val="標楷體"/>
        <family val="4"/>
        <charset val="136"/>
      </rPr>
      <t>陳心怡</t>
    </r>
  </si>
  <si>
    <r>
      <rPr>
        <sz val="12"/>
        <rFont val="標楷體"/>
        <family val="4"/>
        <charset val="136"/>
      </rPr>
      <t>施妤臻</t>
    </r>
  </si>
  <si>
    <r>
      <rPr>
        <sz val="12"/>
        <rFont val="標楷體"/>
        <family val="4"/>
        <charset val="136"/>
      </rPr>
      <t>曾資惟</t>
    </r>
  </si>
  <si>
    <r>
      <rPr>
        <sz val="12"/>
        <rFont val="標楷體"/>
        <family val="4"/>
        <charset val="136"/>
      </rPr>
      <t>洪銘澤</t>
    </r>
  </si>
  <si>
    <r>
      <rPr>
        <sz val="12"/>
        <rFont val="標楷體"/>
        <family val="4"/>
        <charset val="136"/>
      </rPr>
      <t>高詠柔</t>
    </r>
  </si>
  <si>
    <r>
      <rPr>
        <sz val="12"/>
        <rFont val="標楷體"/>
        <family val="4"/>
        <charset val="136"/>
      </rPr>
      <t>葉軒秀</t>
    </r>
  </si>
  <si>
    <r>
      <rPr>
        <sz val="12"/>
        <rFont val="標楷體"/>
        <family val="4"/>
        <charset val="136"/>
      </rPr>
      <t>黃品蓁</t>
    </r>
  </si>
  <si>
    <r>
      <rPr>
        <sz val="12"/>
        <color theme="1"/>
        <rFont val="標楷體"/>
        <family val="4"/>
        <charset val="136"/>
      </rPr>
      <t>吳敏碩</t>
    </r>
    <phoneticPr fontId="13" type="noConversion"/>
  </si>
  <si>
    <r>
      <rPr>
        <sz val="12"/>
        <color theme="1"/>
        <rFont val="標楷體"/>
        <family val="4"/>
        <charset val="136"/>
      </rPr>
      <t>張依婷</t>
    </r>
  </si>
  <si>
    <r>
      <rPr>
        <sz val="12"/>
        <color theme="1"/>
        <rFont val="標楷體"/>
        <family val="4"/>
        <charset val="136"/>
      </rPr>
      <t>陳軒崙</t>
    </r>
  </si>
  <si>
    <r>
      <rPr>
        <sz val="12"/>
        <rFont val="標楷體"/>
        <family val="4"/>
        <charset val="136"/>
      </rPr>
      <t>中位數</t>
    </r>
    <phoneticPr fontId="3" type="noConversion"/>
  </si>
  <si>
    <r>
      <rPr>
        <sz val="12"/>
        <rFont val="標楷體"/>
        <family val="4"/>
        <charset val="136"/>
      </rPr>
      <t>校慶運動會（進場人員＆持旗手）</t>
    </r>
    <phoneticPr fontId="3" type="noConversion"/>
  </si>
  <si>
    <r>
      <t>2.106/12/08</t>
    </r>
    <r>
      <rPr>
        <sz val="12"/>
        <rFont val="標楷體"/>
        <family val="4"/>
        <charset val="136"/>
      </rPr>
      <t>參加企業參訪</t>
    </r>
    <phoneticPr fontId="3" type="noConversion"/>
  </si>
  <si>
    <r>
      <t xml:space="preserve">3. 106.9.13 </t>
    </r>
    <r>
      <rPr>
        <sz val="12"/>
        <rFont val="標楷體"/>
        <family val="4"/>
        <charset val="136"/>
      </rPr>
      <t>班會出席</t>
    </r>
    <phoneticPr fontId="3" type="noConversion"/>
  </si>
  <si>
    <r>
      <t xml:space="preserve">4. 107.1.15 </t>
    </r>
    <r>
      <rPr>
        <sz val="12"/>
        <rFont val="標楷體"/>
        <family val="4"/>
        <charset val="136"/>
      </rPr>
      <t>班會出席</t>
    </r>
    <phoneticPr fontId="3" type="noConversion"/>
  </si>
  <si>
    <r>
      <t xml:space="preserve">5. 107.12.7 </t>
    </r>
    <r>
      <rPr>
        <sz val="12"/>
        <rFont val="標楷體"/>
        <family val="4"/>
        <charset val="136"/>
      </rPr>
      <t>參加企業參訪</t>
    </r>
    <phoneticPr fontId="3" type="noConversion"/>
  </si>
  <si>
    <r>
      <rPr>
        <sz val="12"/>
        <rFont val="標楷體"/>
        <family val="4"/>
        <charset val="136"/>
      </rPr>
      <t>目前累積最高點數：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</si>
  <si>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張景皓</t>
    </r>
  </si>
  <si>
    <r>
      <rPr>
        <sz val="12"/>
        <rFont val="標楷體"/>
        <family val="4"/>
        <charset val="136"/>
      </rPr>
      <t>李淇筑</t>
    </r>
  </si>
  <si>
    <r>
      <rPr>
        <sz val="12"/>
        <rFont val="標楷體"/>
        <family val="4"/>
        <charset val="136"/>
      </rPr>
      <t>張咏靜</t>
    </r>
    <phoneticPr fontId="3" type="noConversion"/>
  </si>
  <si>
    <r>
      <rPr>
        <sz val="12"/>
        <rFont val="標楷體"/>
        <family val="4"/>
        <charset val="136"/>
      </rPr>
      <t>林靖儒</t>
    </r>
  </si>
  <si>
    <r>
      <rPr>
        <sz val="12"/>
        <rFont val="標楷體"/>
        <family val="4"/>
        <charset val="136"/>
      </rPr>
      <t>高沂亞</t>
    </r>
  </si>
  <si>
    <r>
      <rPr>
        <sz val="12"/>
        <rFont val="標楷體"/>
        <family val="4"/>
        <charset val="136"/>
      </rPr>
      <t>林筆翔</t>
    </r>
  </si>
  <si>
    <r>
      <rPr>
        <sz val="12"/>
        <rFont val="標楷體"/>
        <family val="4"/>
        <charset val="136"/>
      </rPr>
      <t>郭易鑫</t>
    </r>
  </si>
  <si>
    <r>
      <rPr>
        <sz val="12"/>
        <rFont val="標楷體"/>
        <family val="4"/>
        <charset val="136"/>
      </rPr>
      <t>葉思嬅</t>
    </r>
  </si>
  <si>
    <r>
      <rPr>
        <sz val="12"/>
        <rFont val="標楷體"/>
        <family val="4"/>
        <charset val="136"/>
      </rPr>
      <t>蔡曼妮</t>
    </r>
  </si>
  <si>
    <r>
      <rPr>
        <sz val="12"/>
        <rFont val="標楷體"/>
        <family val="4"/>
        <charset val="136"/>
      </rPr>
      <t>盧柏任</t>
    </r>
  </si>
  <si>
    <r>
      <rPr>
        <sz val="12"/>
        <rFont val="標楷體"/>
        <family val="4"/>
        <charset val="136"/>
      </rPr>
      <t>賴文雋</t>
    </r>
    <phoneticPr fontId="3" type="noConversion"/>
  </si>
  <si>
    <r>
      <rPr>
        <sz val="12"/>
        <rFont val="標楷體"/>
        <family val="4"/>
        <charset val="136"/>
      </rPr>
      <t>陳忻愉</t>
    </r>
  </si>
  <si>
    <r>
      <rPr>
        <sz val="12"/>
        <rFont val="標楷體"/>
        <family val="4"/>
        <charset val="136"/>
      </rPr>
      <t>蔡俊宏</t>
    </r>
  </si>
  <si>
    <r>
      <rPr>
        <sz val="12"/>
        <rFont val="標楷體"/>
        <family val="4"/>
        <charset val="136"/>
      </rPr>
      <t>李珮慈</t>
    </r>
  </si>
  <si>
    <r>
      <rPr>
        <sz val="12"/>
        <rFont val="標楷體"/>
        <family val="4"/>
        <charset val="136"/>
      </rPr>
      <t>李沐軒</t>
    </r>
  </si>
  <si>
    <r>
      <rPr>
        <sz val="12"/>
        <rFont val="標楷體"/>
        <family val="4"/>
        <charset val="136"/>
      </rPr>
      <t>吳冠臻</t>
    </r>
  </si>
  <si>
    <r>
      <rPr>
        <sz val="12"/>
        <rFont val="標楷體"/>
        <family val="4"/>
        <charset val="136"/>
      </rPr>
      <t>吳佳錡</t>
    </r>
  </si>
  <si>
    <r>
      <rPr>
        <sz val="12"/>
        <rFont val="標楷體"/>
        <family val="4"/>
        <charset val="136"/>
      </rPr>
      <t>邵于庭</t>
    </r>
  </si>
  <si>
    <r>
      <rPr>
        <sz val="12"/>
        <rFont val="標楷體"/>
        <family val="4"/>
        <charset val="136"/>
      </rPr>
      <t>葉映辰</t>
    </r>
  </si>
  <si>
    <r>
      <rPr>
        <sz val="12"/>
        <rFont val="標楷體"/>
        <family val="4"/>
        <charset val="136"/>
      </rPr>
      <t>沈易霆</t>
    </r>
  </si>
  <si>
    <r>
      <rPr>
        <sz val="12"/>
        <rFont val="標楷體"/>
        <family val="4"/>
        <charset val="136"/>
      </rPr>
      <t>展立恆</t>
    </r>
  </si>
  <si>
    <r>
      <rPr>
        <sz val="12"/>
        <rFont val="標楷體"/>
        <family val="4"/>
        <charset val="136"/>
      </rPr>
      <t>施姵妤</t>
    </r>
  </si>
  <si>
    <r>
      <rPr>
        <sz val="12"/>
        <rFont val="標楷體"/>
        <family val="4"/>
        <charset val="136"/>
      </rPr>
      <t>葉泰求</t>
    </r>
  </si>
  <si>
    <r>
      <rPr>
        <sz val="12"/>
        <rFont val="標楷體"/>
        <family val="4"/>
        <charset val="136"/>
      </rPr>
      <t>陳海俊</t>
    </r>
  </si>
  <si>
    <r>
      <rPr>
        <sz val="12"/>
        <rFont val="標楷體"/>
        <family val="4"/>
        <charset val="136"/>
      </rPr>
      <t>陳文俊</t>
    </r>
  </si>
  <si>
    <r>
      <rPr>
        <sz val="12"/>
        <rFont val="標楷體"/>
        <family val="4"/>
        <charset val="136"/>
      </rPr>
      <t>王子芸</t>
    </r>
  </si>
  <si>
    <r>
      <rPr>
        <sz val="12"/>
        <rFont val="標楷體"/>
        <family val="4"/>
        <charset val="136"/>
      </rPr>
      <t>金塔娜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俄羅斯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</si>
  <si>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曾子朋</t>
    </r>
  </si>
  <si>
    <r>
      <rPr>
        <sz val="12"/>
        <rFont val="標楷體"/>
        <family val="4"/>
        <charset val="136"/>
      </rPr>
      <t>林怡呈</t>
    </r>
  </si>
  <si>
    <r>
      <rPr>
        <sz val="12"/>
        <rFont val="標楷體"/>
        <family val="4"/>
        <charset val="136"/>
      </rPr>
      <t>王韻婷</t>
    </r>
  </si>
  <si>
    <r>
      <rPr>
        <sz val="12"/>
        <rFont val="標楷體"/>
        <family val="4"/>
        <charset val="136"/>
      </rPr>
      <t>蔣佳蓉</t>
    </r>
  </si>
  <si>
    <r>
      <rPr>
        <sz val="12"/>
        <rFont val="標楷體"/>
        <family val="4"/>
        <charset val="136"/>
      </rPr>
      <t>譚宇鈞</t>
    </r>
  </si>
  <si>
    <r>
      <rPr>
        <sz val="12"/>
        <rFont val="標楷體"/>
        <family val="4"/>
        <charset val="136"/>
      </rPr>
      <t>洪書唯</t>
    </r>
  </si>
  <si>
    <r>
      <rPr>
        <sz val="12"/>
        <rFont val="標楷體"/>
        <family val="4"/>
        <charset val="136"/>
      </rPr>
      <t>吳欣浩</t>
    </r>
  </si>
  <si>
    <r>
      <rPr>
        <sz val="12"/>
        <rFont val="標楷體"/>
        <family val="4"/>
        <charset val="136"/>
      </rPr>
      <t>蔡峻維</t>
    </r>
  </si>
  <si>
    <r>
      <rPr>
        <sz val="12"/>
        <rFont val="標楷體"/>
        <family val="4"/>
        <charset val="136"/>
      </rPr>
      <t>吳昊翰</t>
    </r>
  </si>
  <si>
    <r>
      <rPr>
        <sz val="12"/>
        <rFont val="標楷體"/>
        <family val="4"/>
        <charset val="136"/>
      </rPr>
      <t>李承叡</t>
    </r>
  </si>
  <si>
    <r>
      <rPr>
        <sz val="12"/>
        <rFont val="標楷體"/>
        <family val="4"/>
        <charset val="136"/>
      </rPr>
      <t>陳繹竣</t>
    </r>
  </si>
  <si>
    <r>
      <rPr>
        <sz val="12"/>
        <rFont val="標楷體"/>
        <family val="4"/>
        <charset val="136"/>
      </rPr>
      <t>陳忠慧</t>
    </r>
  </si>
  <si>
    <r>
      <rPr>
        <sz val="12"/>
        <rFont val="標楷體"/>
        <family val="4"/>
        <charset val="136"/>
      </rPr>
      <t>張謹智</t>
    </r>
  </si>
  <si>
    <r>
      <rPr>
        <sz val="12"/>
        <rFont val="標楷體"/>
        <family val="4"/>
        <charset val="136"/>
      </rPr>
      <t>詹貽婷</t>
    </r>
  </si>
  <si>
    <r>
      <rPr>
        <sz val="12"/>
        <rFont val="標楷體"/>
        <family val="4"/>
        <charset val="136"/>
      </rPr>
      <t>許博皓</t>
    </r>
  </si>
  <si>
    <r>
      <rPr>
        <sz val="12"/>
        <rFont val="標楷體"/>
        <family val="4"/>
        <charset val="136"/>
      </rPr>
      <t>楊承峰</t>
    </r>
  </si>
  <si>
    <r>
      <rPr>
        <sz val="12"/>
        <rFont val="標楷體"/>
        <family val="4"/>
        <charset val="136"/>
      </rPr>
      <t>李豫洋</t>
    </r>
  </si>
  <si>
    <r>
      <rPr>
        <sz val="12"/>
        <rFont val="標楷體"/>
        <family val="4"/>
        <charset val="136"/>
      </rPr>
      <t>林祐莨</t>
    </r>
  </si>
  <si>
    <r>
      <rPr>
        <sz val="12"/>
        <rFont val="標楷體"/>
        <family val="4"/>
        <charset val="136"/>
      </rPr>
      <t>黃馨儀</t>
    </r>
  </si>
  <si>
    <r>
      <rPr>
        <sz val="12"/>
        <rFont val="標楷體"/>
        <family val="4"/>
        <charset val="136"/>
      </rPr>
      <t>陳維心</t>
    </r>
  </si>
  <si>
    <r>
      <rPr>
        <sz val="12"/>
        <rFont val="標楷體"/>
        <family val="4"/>
        <charset val="136"/>
      </rPr>
      <t>吳啟富</t>
    </r>
  </si>
  <si>
    <r>
      <rPr>
        <sz val="12"/>
        <rFont val="標楷體"/>
        <family val="4"/>
        <charset val="136"/>
      </rPr>
      <t>林品露</t>
    </r>
  </si>
  <si>
    <r>
      <rPr>
        <sz val="12"/>
        <rFont val="標楷體"/>
        <family val="4"/>
        <charset val="136"/>
      </rPr>
      <t>黃于珊</t>
    </r>
  </si>
  <si>
    <r>
      <rPr>
        <sz val="12"/>
        <rFont val="標楷體"/>
        <family val="4"/>
        <charset val="136"/>
      </rPr>
      <t>陳姿帆</t>
    </r>
  </si>
  <si>
    <r>
      <rPr>
        <sz val="12"/>
        <rFont val="標楷體"/>
        <family val="4"/>
        <charset val="136"/>
      </rPr>
      <t>陳亦琪</t>
    </r>
  </si>
  <si>
    <r>
      <rPr>
        <sz val="12"/>
        <rFont val="標楷體"/>
        <family val="4"/>
        <charset val="136"/>
      </rPr>
      <t>杜孟翰</t>
    </r>
  </si>
  <si>
    <r>
      <rPr>
        <sz val="12"/>
        <rFont val="標楷體"/>
        <family val="4"/>
        <charset val="136"/>
      </rPr>
      <t>王家容</t>
    </r>
  </si>
  <si>
    <r>
      <rPr>
        <sz val="12"/>
        <rFont val="標楷體"/>
        <family val="4"/>
        <charset val="136"/>
      </rPr>
      <t>游筑筠</t>
    </r>
  </si>
  <si>
    <r>
      <rPr>
        <sz val="12"/>
        <rFont val="標楷體"/>
        <family val="4"/>
        <charset val="136"/>
      </rPr>
      <t>邱子庭</t>
    </r>
  </si>
  <si>
    <r>
      <rPr>
        <sz val="12"/>
        <rFont val="標楷體"/>
        <family val="4"/>
        <charset val="136"/>
      </rPr>
      <t>吳培妤</t>
    </r>
  </si>
  <si>
    <r>
      <rPr>
        <sz val="12"/>
        <rFont val="標楷體"/>
        <family val="4"/>
        <charset val="136"/>
      </rPr>
      <t>黃威智</t>
    </r>
  </si>
  <si>
    <r>
      <rPr>
        <sz val="12"/>
        <rFont val="標楷體"/>
        <family val="4"/>
        <charset val="136"/>
      </rPr>
      <t>吳乙嫻</t>
    </r>
  </si>
  <si>
    <r>
      <rPr>
        <sz val="12"/>
        <rFont val="標楷體"/>
        <family val="4"/>
        <charset val="136"/>
      </rPr>
      <t>白哲睿</t>
    </r>
  </si>
  <si>
    <r>
      <rPr>
        <sz val="12"/>
        <rFont val="標楷體"/>
        <family val="4"/>
        <charset val="136"/>
      </rPr>
      <t>林怡甄</t>
    </r>
  </si>
  <si>
    <r>
      <rPr>
        <sz val="12"/>
        <rFont val="標楷體"/>
        <family val="4"/>
        <charset val="136"/>
      </rPr>
      <t>洪子瑄</t>
    </r>
  </si>
  <si>
    <r>
      <rPr>
        <sz val="12"/>
        <rFont val="標楷體"/>
        <family val="4"/>
        <charset val="136"/>
      </rPr>
      <t>朱冠誼</t>
    </r>
  </si>
  <si>
    <r>
      <rPr>
        <sz val="12"/>
        <rFont val="標楷體"/>
        <family val="4"/>
        <charset val="136"/>
      </rPr>
      <t>惠郁修</t>
    </r>
  </si>
  <si>
    <r>
      <rPr>
        <sz val="12"/>
        <rFont val="標楷體"/>
        <family val="4"/>
        <charset val="136"/>
      </rPr>
      <t>郭鈺樺</t>
    </r>
  </si>
  <si>
    <r>
      <rPr>
        <sz val="12"/>
        <rFont val="標楷體"/>
        <family val="4"/>
        <charset val="136"/>
      </rPr>
      <t>葉治遠</t>
    </r>
  </si>
  <si>
    <r>
      <rPr>
        <sz val="12"/>
        <rFont val="標楷體"/>
        <family val="4"/>
        <charset val="136"/>
      </rPr>
      <t>楊碧雪</t>
    </r>
  </si>
  <si>
    <r>
      <rPr>
        <sz val="12"/>
        <rFont val="標楷體"/>
        <family val="4"/>
        <charset val="136"/>
      </rPr>
      <t>洪浚銜</t>
    </r>
  </si>
  <si>
    <r>
      <rPr>
        <sz val="12"/>
        <rFont val="標楷體"/>
        <family val="4"/>
        <charset val="136"/>
      </rPr>
      <t>劉奕昇</t>
    </r>
  </si>
  <si>
    <r>
      <rPr>
        <sz val="12"/>
        <rFont val="標楷體"/>
        <family val="4"/>
        <charset val="136"/>
      </rPr>
      <t>金榮燮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</si>
  <si>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汪君睿</t>
    </r>
  </si>
  <si>
    <r>
      <rPr>
        <sz val="12"/>
        <rFont val="標楷體"/>
        <family val="4"/>
        <charset val="136"/>
      </rPr>
      <t>翁偉銘</t>
    </r>
  </si>
  <si>
    <r>
      <rPr>
        <sz val="12"/>
        <rFont val="標楷體"/>
        <family val="4"/>
        <charset val="136"/>
      </rPr>
      <t>張哲愷</t>
    </r>
  </si>
  <si>
    <r>
      <rPr>
        <sz val="12"/>
        <rFont val="標楷體"/>
        <family val="4"/>
        <charset val="136"/>
      </rPr>
      <t>胡庭耀</t>
    </r>
  </si>
  <si>
    <r>
      <rPr>
        <sz val="12"/>
        <rFont val="標楷體"/>
        <family val="4"/>
        <charset val="136"/>
      </rPr>
      <t>郭品妍</t>
    </r>
  </si>
  <si>
    <r>
      <rPr>
        <sz val="12"/>
        <rFont val="標楷體"/>
        <family val="4"/>
        <charset val="136"/>
      </rPr>
      <t>蘇妍心</t>
    </r>
  </si>
  <si>
    <r>
      <rPr>
        <sz val="12"/>
        <rFont val="標楷體"/>
        <family val="4"/>
        <charset val="136"/>
      </rPr>
      <t>吳冠嫻</t>
    </r>
  </si>
  <si>
    <r>
      <rPr>
        <sz val="12"/>
        <rFont val="標楷體"/>
        <family val="4"/>
        <charset val="136"/>
      </rPr>
      <t>陳品諭</t>
    </r>
  </si>
  <si>
    <r>
      <rPr>
        <sz val="12"/>
        <rFont val="標楷體"/>
        <family val="4"/>
        <charset val="136"/>
      </rPr>
      <t>劉承怡</t>
    </r>
  </si>
  <si>
    <r>
      <rPr>
        <sz val="12"/>
        <rFont val="標楷體"/>
        <family val="4"/>
        <charset val="136"/>
      </rPr>
      <t>曾昱翔</t>
    </r>
  </si>
  <si>
    <r>
      <rPr>
        <sz val="12"/>
        <rFont val="標楷體"/>
        <family val="4"/>
        <charset val="136"/>
      </rPr>
      <t>古婷瑜</t>
    </r>
  </si>
  <si>
    <r>
      <rPr>
        <sz val="12"/>
        <rFont val="標楷體"/>
        <family val="4"/>
        <charset val="136"/>
      </rPr>
      <t>吳竹偵</t>
    </r>
    <phoneticPr fontId="3" type="noConversion"/>
  </si>
  <si>
    <r>
      <rPr>
        <sz val="12"/>
        <rFont val="標楷體"/>
        <family val="4"/>
        <charset val="136"/>
      </rPr>
      <t>潘榮德</t>
    </r>
  </si>
  <si>
    <r>
      <rPr>
        <sz val="12"/>
        <rFont val="標楷體"/>
        <family val="4"/>
        <charset val="136"/>
      </rPr>
      <t>陳怡安</t>
    </r>
  </si>
  <si>
    <r>
      <rPr>
        <sz val="12"/>
        <rFont val="標楷體"/>
        <family val="4"/>
        <charset val="136"/>
      </rPr>
      <t>謝錚奇</t>
    </r>
  </si>
  <si>
    <r>
      <rPr>
        <sz val="12"/>
        <rFont val="標楷體"/>
        <family val="4"/>
        <charset val="136"/>
      </rPr>
      <t>黃彥綸</t>
    </r>
  </si>
  <si>
    <r>
      <rPr>
        <sz val="12"/>
        <rFont val="標楷體"/>
        <family val="4"/>
        <charset val="136"/>
      </rPr>
      <t>張芷瑄</t>
    </r>
  </si>
  <si>
    <r>
      <rPr>
        <sz val="12"/>
        <rFont val="標楷體"/>
        <family val="4"/>
        <charset val="136"/>
      </rPr>
      <t>李佳揚</t>
    </r>
  </si>
  <si>
    <r>
      <rPr>
        <sz val="12"/>
        <rFont val="標楷體"/>
        <family val="4"/>
        <charset val="136"/>
      </rPr>
      <t>李承璽</t>
    </r>
  </si>
  <si>
    <r>
      <rPr>
        <sz val="12"/>
        <rFont val="標楷體"/>
        <family val="4"/>
        <charset val="136"/>
      </rPr>
      <t>鄭宇均</t>
    </r>
    <phoneticPr fontId="3" type="noConversion"/>
  </si>
  <si>
    <r>
      <rPr>
        <sz val="12"/>
        <rFont val="標楷體"/>
        <family val="4"/>
        <charset val="136"/>
      </rPr>
      <t>林文硯</t>
    </r>
    <phoneticPr fontId="3" type="noConversion"/>
  </si>
  <si>
    <r>
      <rPr>
        <sz val="12"/>
        <color theme="1"/>
        <rFont val="標楷體"/>
        <family val="4"/>
        <charset val="136"/>
      </rPr>
      <t>楊蕙瑄</t>
    </r>
  </si>
  <si>
    <r>
      <rPr>
        <sz val="12"/>
        <color theme="1"/>
        <rFont val="標楷體"/>
        <family val="4"/>
        <charset val="136"/>
      </rPr>
      <t>許梅君</t>
    </r>
  </si>
  <si>
    <r>
      <rPr>
        <sz val="12"/>
        <color theme="1"/>
        <rFont val="標楷體"/>
        <family val="4"/>
        <charset val="136"/>
      </rPr>
      <t>江昱德</t>
    </r>
  </si>
  <si>
    <r>
      <rPr>
        <sz val="12"/>
        <color theme="1"/>
        <rFont val="標楷體"/>
        <family val="4"/>
        <charset val="136"/>
      </rPr>
      <t>吳沂霖</t>
    </r>
  </si>
  <si>
    <r>
      <rPr>
        <sz val="12"/>
        <color theme="1"/>
        <rFont val="標楷體"/>
        <family val="4"/>
        <charset val="136"/>
      </rPr>
      <t>鍾詩雨</t>
    </r>
  </si>
  <si>
    <r>
      <rPr>
        <sz val="12"/>
        <color theme="1"/>
        <rFont val="標楷體"/>
        <family val="4"/>
        <charset val="136"/>
      </rPr>
      <t>林品嘉</t>
    </r>
  </si>
  <si>
    <r>
      <rPr>
        <sz val="12"/>
        <rFont val="標楷體"/>
        <family val="4"/>
        <charset val="136"/>
      </rPr>
      <t>中位數</t>
    </r>
    <phoneticPr fontId="3" type="noConversion"/>
  </si>
  <si>
    <r>
      <rPr>
        <sz val="12"/>
        <rFont val="標楷體"/>
        <family val="4"/>
        <charset val="136"/>
      </rPr>
      <t>校慶運動會（進場人員＆持旗手）</t>
    </r>
    <phoneticPr fontId="3" type="noConversion"/>
  </si>
  <si>
    <r>
      <t>2.106/12/08</t>
    </r>
    <r>
      <rPr>
        <sz val="12"/>
        <rFont val="標楷體"/>
        <family val="4"/>
        <charset val="136"/>
      </rPr>
      <t>參加企業參訪</t>
    </r>
    <phoneticPr fontId="3" type="noConversion"/>
  </si>
  <si>
    <r>
      <t xml:space="preserve">3. 106.9.13 </t>
    </r>
    <r>
      <rPr>
        <sz val="12"/>
        <rFont val="標楷體"/>
        <family val="4"/>
        <charset val="136"/>
      </rPr>
      <t>班會出席</t>
    </r>
    <phoneticPr fontId="3" type="noConversion"/>
  </si>
  <si>
    <r>
      <t xml:space="preserve">4. 107.1.15 </t>
    </r>
    <r>
      <rPr>
        <sz val="12"/>
        <rFont val="標楷體"/>
        <family val="4"/>
        <charset val="136"/>
      </rPr>
      <t>班會出席</t>
    </r>
    <phoneticPr fontId="3" type="noConversion"/>
  </si>
  <si>
    <r>
      <t xml:space="preserve">5. 107.12.7 </t>
    </r>
    <r>
      <rPr>
        <sz val="12"/>
        <rFont val="標楷體"/>
        <family val="4"/>
        <charset val="136"/>
      </rPr>
      <t>參加企業參訪</t>
    </r>
    <phoneticPr fontId="3" type="noConversion"/>
  </si>
  <si>
    <r>
      <t>6. 108/6/10</t>
    </r>
    <r>
      <rPr>
        <sz val="12"/>
        <rFont val="標楷體"/>
        <family val="4"/>
        <charset val="136"/>
      </rPr>
      <t>參加職涯講座</t>
    </r>
    <phoneticPr fontId="3" type="noConversion"/>
  </si>
  <si>
    <r>
      <t>7.108.10.26</t>
    </r>
    <r>
      <rPr>
        <sz val="12"/>
        <rFont val="標楷體"/>
        <family val="4"/>
        <charset val="136"/>
      </rPr>
      <t>校慶繞場</t>
    </r>
    <phoneticPr fontId="3" type="noConversion"/>
  </si>
  <si>
    <t>羅婉蘋</t>
    <phoneticPr fontId="3" type="noConversion"/>
  </si>
  <si>
    <t>409510025</t>
  </si>
  <si>
    <t>409510027</t>
  </si>
  <si>
    <t>409510029</t>
  </si>
  <si>
    <t>409510031</t>
  </si>
  <si>
    <t>409510033</t>
  </si>
  <si>
    <t>409510035</t>
  </si>
  <si>
    <t>409510037</t>
  </si>
  <si>
    <t>409510039</t>
  </si>
  <si>
    <t>409510041</t>
  </si>
  <si>
    <t>409510043</t>
  </si>
  <si>
    <t>409510045</t>
  </si>
  <si>
    <t>409510049</t>
  </si>
  <si>
    <t>409510051</t>
  </si>
  <si>
    <t>409510055</t>
  </si>
  <si>
    <t>409510057</t>
  </si>
  <si>
    <t>409510059</t>
  </si>
  <si>
    <t>409510061</t>
  </si>
  <si>
    <t>409510063</t>
  </si>
  <si>
    <t>409510065</t>
  </si>
  <si>
    <t>409510069</t>
  </si>
  <si>
    <t>409510071</t>
  </si>
  <si>
    <t>409510073</t>
  </si>
  <si>
    <t>409510075</t>
  </si>
  <si>
    <t>409510079</t>
  </si>
  <si>
    <t>409510085</t>
  </si>
  <si>
    <t>409510087</t>
  </si>
  <si>
    <t>409510089</t>
  </si>
  <si>
    <t>409510091</t>
  </si>
  <si>
    <t>409510093</t>
  </si>
  <si>
    <t>409510095</t>
  </si>
  <si>
    <t>409510097</t>
  </si>
  <si>
    <t>409510099</t>
  </si>
  <si>
    <t>409510101</t>
  </si>
  <si>
    <t>409510103</t>
  </si>
  <si>
    <t>408510064</t>
  </si>
  <si>
    <t>408510080</t>
  </si>
  <si>
    <t>409510002</t>
  </si>
  <si>
    <t>409510004</t>
  </si>
  <si>
    <t>409510006</t>
  </si>
  <si>
    <t>409510008</t>
  </si>
  <si>
    <t>409510010</t>
  </si>
  <si>
    <t>409510012</t>
  </si>
  <si>
    <t>409510014</t>
  </si>
  <si>
    <t>409510016</t>
  </si>
  <si>
    <t>409510018</t>
  </si>
  <si>
    <t>409510020</t>
  </si>
  <si>
    <t>409510022</t>
  </si>
  <si>
    <t>409510024</t>
  </si>
  <si>
    <t>409510026</t>
  </si>
  <si>
    <t>409510028</t>
  </si>
  <si>
    <t>409510030</t>
  </si>
  <si>
    <t>409510032</t>
  </si>
  <si>
    <t>409510034</t>
  </si>
  <si>
    <t>409510036</t>
  </si>
  <si>
    <t>409510038</t>
  </si>
  <si>
    <t>409510040</t>
  </si>
  <si>
    <t>409510042</t>
  </si>
  <si>
    <t>409510044</t>
  </si>
  <si>
    <t>409510046</t>
  </si>
  <si>
    <t>409510048</t>
  </si>
  <si>
    <t>409510050</t>
  </si>
  <si>
    <t>409510052</t>
  </si>
  <si>
    <t>409510054</t>
  </si>
  <si>
    <t>409510056</t>
  </si>
  <si>
    <t>409510058</t>
  </si>
  <si>
    <t>409510060</t>
  </si>
  <si>
    <t>409510062</t>
  </si>
  <si>
    <t>409510064</t>
  </si>
  <si>
    <t>409510066</t>
  </si>
  <si>
    <t>409510068</t>
  </si>
  <si>
    <t>409510070</t>
  </si>
  <si>
    <t>409510072</t>
  </si>
  <si>
    <t>409510074</t>
  </si>
  <si>
    <t>409510076</t>
  </si>
  <si>
    <t>409510078</t>
  </si>
  <si>
    <t>409510080</t>
  </si>
  <si>
    <t>409510082</t>
  </si>
  <si>
    <t>409510084</t>
  </si>
  <si>
    <t>409510086</t>
  </si>
  <si>
    <t>409510092</t>
  </si>
  <si>
    <t>409510094</t>
  </si>
  <si>
    <t>409510098</t>
  </si>
  <si>
    <t>409510100</t>
  </si>
  <si>
    <t>409510102</t>
  </si>
  <si>
    <t>409510104</t>
  </si>
  <si>
    <t>409510106</t>
  </si>
  <si>
    <r>
      <rPr>
        <sz val="12"/>
        <rFont val="標楷體"/>
        <family val="4"/>
        <charset val="136"/>
      </rPr>
      <t>賴信升</t>
    </r>
  </si>
  <si>
    <r>
      <rPr>
        <sz val="12"/>
        <rFont val="標楷體"/>
        <family val="4"/>
        <charset val="136"/>
      </rPr>
      <t>張玴誠</t>
    </r>
  </si>
  <si>
    <r>
      <rPr>
        <sz val="12"/>
        <rFont val="標楷體"/>
        <family val="4"/>
        <charset val="136"/>
      </rPr>
      <t>林偉宸</t>
    </r>
  </si>
  <si>
    <r>
      <rPr>
        <sz val="12"/>
        <rFont val="標楷體"/>
        <family val="4"/>
        <charset val="136"/>
      </rPr>
      <t>柴映慈</t>
    </r>
  </si>
  <si>
    <r>
      <rPr>
        <sz val="12"/>
        <rFont val="標楷體"/>
        <family val="4"/>
        <charset val="136"/>
      </rPr>
      <t>林禹萱</t>
    </r>
  </si>
  <si>
    <r>
      <rPr>
        <sz val="12"/>
        <rFont val="標楷體"/>
        <family val="4"/>
        <charset val="136"/>
      </rPr>
      <t>董宗翰</t>
    </r>
  </si>
  <si>
    <r>
      <rPr>
        <sz val="12"/>
        <rFont val="標楷體"/>
        <family val="4"/>
        <charset val="136"/>
      </rPr>
      <t>周廷勳</t>
    </r>
  </si>
  <si>
    <r>
      <rPr>
        <sz val="12"/>
        <rFont val="標楷體"/>
        <family val="4"/>
        <charset val="136"/>
      </rPr>
      <t>盧芝穎</t>
    </r>
  </si>
  <si>
    <r>
      <rPr>
        <sz val="12"/>
        <rFont val="標楷體"/>
        <family val="4"/>
        <charset val="136"/>
      </rPr>
      <t>張詠華</t>
    </r>
  </si>
  <si>
    <r>
      <rPr>
        <sz val="12"/>
        <rFont val="標楷體"/>
        <family val="4"/>
        <charset val="136"/>
      </rPr>
      <t>黃冠哲</t>
    </r>
  </si>
  <si>
    <r>
      <rPr>
        <sz val="12"/>
        <rFont val="標楷體"/>
        <family val="4"/>
        <charset val="136"/>
      </rPr>
      <t>林芳逸</t>
    </r>
  </si>
  <si>
    <r>
      <rPr>
        <sz val="12"/>
        <rFont val="標楷體"/>
        <family val="4"/>
        <charset val="136"/>
      </rPr>
      <t>孫渝鈞</t>
    </r>
  </si>
  <si>
    <r>
      <rPr>
        <sz val="12"/>
        <rFont val="標楷體"/>
        <family val="4"/>
        <charset val="136"/>
      </rPr>
      <t>王若均</t>
    </r>
  </si>
  <si>
    <r>
      <rPr>
        <sz val="12"/>
        <rFont val="標楷體"/>
        <family val="4"/>
        <charset val="136"/>
      </rPr>
      <t>王彩寧</t>
    </r>
  </si>
  <si>
    <r>
      <rPr>
        <sz val="12"/>
        <rFont val="標楷體"/>
        <family val="4"/>
        <charset val="136"/>
      </rPr>
      <t>楊彥葦</t>
    </r>
  </si>
  <si>
    <r>
      <rPr>
        <sz val="12"/>
        <rFont val="標楷體"/>
        <family val="4"/>
        <charset val="136"/>
      </rPr>
      <t>沈佳穎</t>
    </r>
  </si>
  <si>
    <r>
      <rPr>
        <sz val="12"/>
        <rFont val="標楷體"/>
        <family val="4"/>
        <charset val="136"/>
      </rPr>
      <t>許毓真</t>
    </r>
  </si>
  <si>
    <r>
      <rPr>
        <sz val="12"/>
        <rFont val="標楷體"/>
        <family val="4"/>
        <charset val="136"/>
      </rPr>
      <t>黃馨慧</t>
    </r>
  </si>
  <si>
    <r>
      <rPr>
        <sz val="12"/>
        <rFont val="標楷體"/>
        <family val="4"/>
        <charset val="136"/>
      </rPr>
      <t>康育銘</t>
    </r>
  </si>
  <si>
    <r>
      <rPr>
        <sz val="12"/>
        <rFont val="標楷體"/>
        <family val="4"/>
        <charset val="136"/>
      </rPr>
      <t>段崇文</t>
    </r>
  </si>
  <si>
    <r>
      <rPr>
        <sz val="12"/>
        <rFont val="標楷體"/>
        <family val="4"/>
        <charset val="136"/>
      </rPr>
      <t>吳秀麗</t>
    </r>
  </si>
  <si>
    <r>
      <rPr>
        <sz val="12"/>
        <rFont val="標楷體"/>
        <family val="4"/>
        <charset val="136"/>
      </rPr>
      <t>吳佩諺</t>
    </r>
  </si>
  <si>
    <r>
      <rPr>
        <sz val="12"/>
        <rFont val="標楷體"/>
        <family val="4"/>
        <charset val="136"/>
      </rPr>
      <t>楊芸蓁</t>
    </r>
  </si>
  <si>
    <r>
      <rPr>
        <sz val="12"/>
        <rFont val="標楷體"/>
        <family val="4"/>
        <charset val="136"/>
      </rPr>
      <t>張瀚升</t>
    </r>
  </si>
  <si>
    <r>
      <rPr>
        <sz val="12"/>
        <rFont val="標楷體"/>
        <family val="4"/>
        <charset val="136"/>
      </rPr>
      <t>甘育霖</t>
    </r>
  </si>
  <si>
    <r>
      <rPr>
        <sz val="12"/>
        <rFont val="標楷體"/>
        <family val="4"/>
        <charset val="136"/>
      </rPr>
      <t>鄭芃之</t>
    </r>
  </si>
  <si>
    <r>
      <rPr>
        <sz val="12"/>
        <rFont val="標楷體"/>
        <family val="4"/>
        <charset val="136"/>
      </rPr>
      <t>金辰翰</t>
    </r>
  </si>
  <si>
    <r>
      <rPr>
        <sz val="12"/>
        <rFont val="標楷體"/>
        <family val="4"/>
        <charset val="136"/>
      </rPr>
      <t>傅榆軒</t>
    </r>
  </si>
  <si>
    <r>
      <rPr>
        <sz val="12"/>
        <rFont val="標楷體"/>
        <family val="4"/>
        <charset val="136"/>
      </rPr>
      <t>徐崇恩</t>
    </r>
  </si>
  <si>
    <r>
      <rPr>
        <sz val="12"/>
        <rFont val="標楷體"/>
        <family val="4"/>
        <charset val="136"/>
      </rPr>
      <t>黃偉城</t>
    </r>
  </si>
  <si>
    <r>
      <rPr>
        <sz val="12"/>
        <rFont val="標楷體"/>
        <family val="4"/>
        <charset val="136"/>
      </rPr>
      <t>陳佑</t>
    </r>
  </si>
  <si>
    <r>
      <rPr>
        <sz val="12"/>
        <rFont val="標楷體"/>
        <family val="4"/>
        <charset val="136"/>
      </rPr>
      <t>洪芷芸</t>
    </r>
  </si>
  <si>
    <r>
      <rPr>
        <sz val="12"/>
        <rFont val="標楷體"/>
        <family val="4"/>
        <charset val="136"/>
      </rPr>
      <t>卓伯呈</t>
    </r>
  </si>
  <si>
    <r>
      <rPr>
        <sz val="12"/>
        <rFont val="標楷體"/>
        <family val="4"/>
        <charset val="136"/>
      </rPr>
      <t>張凱和</t>
    </r>
  </si>
  <si>
    <r>
      <rPr>
        <sz val="12"/>
        <rFont val="標楷體"/>
        <family val="4"/>
        <charset val="136"/>
      </rPr>
      <t>陳芯綺</t>
    </r>
  </si>
  <si>
    <r>
      <rPr>
        <sz val="12"/>
        <rFont val="標楷體"/>
        <family val="4"/>
        <charset val="136"/>
      </rPr>
      <t>汪立翔</t>
    </r>
  </si>
  <si>
    <r>
      <rPr>
        <sz val="12"/>
        <rFont val="標楷體"/>
        <family val="4"/>
        <charset val="136"/>
      </rPr>
      <t>黃繹穎</t>
    </r>
  </si>
  <si>
    <r>
      <rPr>
        <sz val="12"/>
        <rFont val="標楷體"/>
        <family val="4"/>
        <charset val="136"/>
      </rPr>
      <t>陳禹諠</t>
    </r>
  </si>
  <si>
    <r>
      <rPr>
        <sz val="12"/>
        <rFont val="標楷體"/>
        <family val="4"/>
        <charset val="136"/>
      </rPr>
      <t>邱冠勳</t>
    </r>
  </si>
  <si>
    <r>
      <rPr>
        <sz val="12"/>
        <rFont val="標楷體"/>
        <family val="4"/>
        <charset val="136"/>
      </rPr>
      <t>黃品翰</t>
    </r>
  </si>
  <si>
    <r>
      <rPr>
        <sz val="12"/>
        <rFont val="標楷體"/>
        <family val="4"/>
        <charset val="136"/>
      </rPr>
      <t>于鎧嘉</t>
    </r>
  </si>
  <si>
    <r>
      <rPr>
        <sz val="12"/>
        <rFont val="標楷體"/>
        <family val="4"/>
        <charset val="136"/>
      </rPr>
      <t>郭品儀</t>
    </r>
  </si>
  <si>
    <r>
      <rPr>
        <sz val="12"/>
        <rFont val="標楷體"/>
        <family val="4"/>
        <charset val="136"/>
      </rPr>
      <t>何大貳</t>
    </r>
  </si>
  <si>
    <r>
      <rPr>
        <sz val="12"/>
        <rFont val="標楷體"/>
        <family val="4"/>
        <charset val="136"/>
      </rPr>
      <t>陳雨彤</t>
    </r>
  </si>
  <si>
    <r>
      <rPr>
        <sz val="12"/>
        <rFont val="標楷體"/>
        <family val="4"/>
        <charset val="136"/>
      </rPr>
      <t>屠亞宣</t>
    </r>
  </si>
  <si>
    <r>
      <rPr>
        <sz val="12"/>
        <rFont val="標楷體"/>
        <family val="4"/>
        <charset val="136"/>
      </rPr>
      <t>歐陽良旻</t>
    </r>
  </si>
  <si>
    <r>
      <rPr>
        <sz val="12"/>
        <rFont val="標楷體"/>
        <family val="4"/>
        <charset val="136"/>
      </rPr>
      <t>詹謹鴻</t>
    </r>
  </si>
  <si>
    <r>
      <rPr>
        <sz val="12"/>
        <rFont val="標楷體"/>
        <family val="4"/>
        <charset val="136"/>
      </rPr>
      <t>薛妙峰</t>
    </r>
  </si>
  <si>
    <r>
      <rPr>
        <sz val="12"/>
        <rFont val="標楷體"/>
        <family val="4"/>
        <charset val="136"/>
      </rPr>
      <t>江明軒</t>
    </r>
  </si>
  <si>
    <r>
      <rPr>
        <sz val="12"/>
        <rFont val="標楷體"/>
        <family val="4"/>
        <charset val="136"/>
      </rPr>
      <t>黃瀚陞</t>
    </r>
  </si>
  <si>
    <r>
      <rPr>
        <sz val="12"/>
        <rFont val="標楷體"/>
        <family val="4"/>
        <charset val="136"/>
      </rPr>
      <t>陳郁臻</t>
    </r>
  </si>
  <si>
    <r>
      <rPr>
        <sz val="12"/>
        <rFont val="標楷體"/>
        <family val="4"/>
        <charset val="136"/>
      </rPr>
      <t>郭秉叡</t>
    </r>
  </si>
  <si>
    <r>
      <rPr>
        <sz val="12"/>
        <rFont val="標楷體"/>
        <family val="4"/>
        <charset val="136"/>
      </rPr>
      <t>潘思妤</t>
    </r>
  </si>
  <si>
    <r>
      <rPr>
        <sz val="12"/>
        <rFont val="標楷體"/>
        <family val="4"/>
        <charset val="136"/>
      </rPr>
      <t>陳姿安</t>
    </r>
  </si>
  <si>
    <r>
      <rPr>
        <sz val="12"/>
        <rFont val="標楷體"/>
        <family val="4"/>
        <charset val="136"/>
      </rPr>
      <t>林峻霆</t>
    </r>
  </si>
  <si>
    <r>
      <rPr>
        <sz val="12"/>
        <rFont val="標楷體"/>
        <family val="4"/>
        <charset val="136"/>
      </rPr>
      <t>李益中</t>
    </r>
  </si>
  <si>
    <r>
      <rPr>
        <sz val="12"/>
        <rFont val="標楷體"/>
        <family val="4"/>
        <charset val="136"/>
      </rPr>
      <t>周姿妤</t>
    </r>
  </si>
  <si>
    <r>
      <rPr>
        <sz val="12"/>
        <rFont val="標楷體"/>
        <family val="4"/>
        <charset val="136"/>
      </rPr>
      <t>李銘慈</t>
    </r>
  </si>
  <si>
    <r>
      <rPr>
        <sz val="12"/>
        <rFont val="標楷體"/>
        <family val="4"/>
        <charset val="136"/>
      </rPr>
      <t>陳佳愉</t>
    </r>
  </si>
  <si>
    <r>
      <rPr>
        <sz val="12"/>
        <rFont val="標楷體"/>
        <family val="4"/>
        <charset val="136"/>
      </rPr>
      <t>鄭依旻</t>
    </r>
  </si>
  <si>
    <r>
      <rPr>
        <sz val="12"/>
        <rFont val="標楷體"/>
        <family val="4"/>
        <charset val="136"/>
      </rPr>
      <t>楊淯婷</t>
    </r>
  </si>
  <si>
    <r>
      <rPr>
        <sz val="12"/>
        <rFont val="標楷體"/>
        <family val="4"/>
        <charset val="136"/>
      </rPr>
      <t>許璦子</t>
    </r>
  </si>
  <si>
    <r>
      <rPr>
        <sz val="12"/>
        <rFont val="標楷體"/>
        <family val="4"/>
        <charset val="136"/>
      </rPr>
      <t>翁筠琪</t>
    </r>
  </si>
  <si>
    <r>
      <rPr>
        <sz val="12"/>
        <rFont val="標楷體"/>
        <family val="4"/>
        <charset val="136"/>
      </rPr>
      <t>陳佳村</t>
    </r>
  </si>
  <si>
    <r>
      <rPr>
        <sz val="12"/>
        <rFont val="標楷體"/>
        <family val="4"/>
        <charset val="136"/>
      </rPr>
      <t>張人尹</t>
    </r>
  </si>
  <si>
    <r>
      <rPr>
        <sz val="12"/>
        <rFont val="標楷體"/>
        <family val="4"/>
        <charset val="136"/>
      </rPr>
      <t>陳若恩</t>
    </r>
  </si>
  <si>
    <r>
      <rPr>
        <sz val="12"/>
        <rFont val="標楷體"/>
        <family val="4"/>
        <charset val="136"/>
      </rPr>
      <t>王晨期</t>
    </r>
  </si>
  <si>
    <r>
      <rPr>
        <sz val="12"/>
        <rFont val="標楷體"/>
        <family val="4"/>
        <charset val="136"/>
      </rPr>
      <t>李頤賢</t>
    </r>
  </si>
  <si>
    <r>
      <rPr>
        <sz val="12"/>
        <rFont val="標楷體"/>
        <family val="4"/>
        <charset val="136"/>
      </rPr>
      <t>張靖偲</t>
    </r>
  </si>
  <si>
    <r>
      <rPr>
        <sz val="12"/>
        <rFont val="標楷體"/>
        <family val="4"/>
        <charset val="136"/>
      </rPr>
      <t>劉彥堃</t>
    </r>
  </si>
  <si>
    <r>
      <rPr>
        <sz val="12"/>
        <rFont val="標楷體"/>
        <family val="4"/>
        <charset val="136"/>
      </rPr>
      <t>江翊誠</t>
    </r>
  </si>
  <si>
    <r>
      <rPr>
        <sz val="12"/>
        <rFont val="標楷體"/>
        <family val="4"/>
        <charset val="136"/>
      </rPr>
      <t>邱宥樵</t>
    </r>
  </si>
  <si>
    <r>
      <rPr>
        <sz val="12"/>
        <rFont val="標楷體"/>
        <family val="4"/>
        <charset val="136"/>
      </rPr>
      <t>黃渝云</t>
    </r>
  </si>
  <si>
    <r>
      <rPr>
        <sz val="12"/>
        <rFont val="標楷體"/>
        <family val="4"/>
        <charset val="136"/>
      </rPr>
      <t>陳威廷</t>
    </r>
  </si>
  <si>
    <r>
      <rPr>
        <sz val="12"/>
        <rFont val="標楷體"/>
        <family val="4"/>
        <charset val="136"/>
      </rPr>
      <t>吳宇宸</t>
    </r>
  </si>
  <si>
    <r>
      <rPr>
        <sz val="12"/>
        <rFont val="標楷體"/>
        <family val="4"/>
        <charset val="136"/>
      </rPr>
      <t>周思辰</t>
    </r>
  </si>
  <si>
    <r>
      <rPr>
        <sz val="12"/>
        <rFont val="標楷體"/>
        <family val="4"/>
        <charset val="136"/>
      </rPr>
      <t>黃威恆</t>
    </r>
  </si>
  <si>
    <r>
      <rPr>
        <sz val="12"/>
        <rFont val="標楷體"/>
        <family val="4"/>
        <charset val="136"/>
      </rPr>
      <t>魏宗緯</t>
    </r>
  </si>
  <si>
    <r>
      <rPr>
        <sz val="12"/>
        <rFont val="標楷體"/>
        <family val="4"/>
        <charset val="136"/>
      </rPr>
      <t>廖葳駿</t>
    </r>
  </si>
  <si>
    <r>
      <rPr>
        <sz val="12"/>
        <rFont val="標楷體"/>
        <family val="4"/>
        <charset val="136"/>
      </rPr>
      <t>蔡奇璋</t>
    </r>
  </si>
  <si>
    <r>
      <rPr>
        <sz val="12"/>
        <rFont val="標楷體"/>
        <family val="4"/>
        <charset val="136"/>
      </rPr>
      <t>劉旻榛</t>
    </r>
  </si>
  <si>
    <r>
      <rPr>
        <sz val="12"/>
        <rFont val="標楷體"/>
        <family val="4"/>
        <charset val="136"/>
      </rPr>
      <t>李銘哲</t>
    </r>
  </si>
  <si>
    <r>
      <rPr>
        <sz val="12"/>
        <rFont val="標楷體"/>
        <family val="4"/>
        <charset val="136"/>
      </rPr>
      <t>鄭光宇</t>
    </r>
  </si>
  <si>
    <r>
      <rPr>
        <sz val="12"/>
        <rFont val="標楷體"/>
        <family val="4"/>
        <charset val="136"/>
      </rPr>
      <t>鄭修涵</t>
    </r>
  </si>
  <si>
    <r>
      <rPr>
        <sz val="12"/>
        <rFont val="標楷體"/>
        <family val="4"/>
        <charset val="136"/>
      </rPr>
      <t>目前累積最高點數：</t>
    </r>
    <r>
      <rPr>
        <sz val="12"/>
        <rFont val="Times New Roman"/>
        <family val="1"/>
      </rPr>
      <t xml:space="preserve"> </t>
    </r>
    <phoneticPr fontId="3" type="noConversion"/>
  </si>
  <si>
    <t>409510001</t>
  </si>
  <si>
    <t>409510003</t>
  </si>
  <si>
    <t>409510005</t>
  </si>
  <si>
    <t>409510007</t>
  </si>
  <si>
    <t>409510009</t>
  </si>
  <si>
    <t>409510011</t>
  </si>
  <si>
    <t>409510013</t>
  </si>
  <si>
    <t>409510017</t>
  </si>
  <si>
    <t>409510021</t>
  </si>
  <si>
    <r>
      <rPr>
        <sz val="12"/>
        <rFont val="標楷體"/>
        <family val="4"/>
        <charset val="136"/>
      </rPr>
      <t>中位數</t>
    </r>
    <phoneticPr fontId="3" type="noConversion"/>
  </si>
  <si>
    <r>
      <rPr>
        <sz val="12"/>
        <rFont val="標楷體"/>
        <family val="4"/>
        <charset val="136"/>
      </rPr>
      <t>李澤林</t>
    </r>
  </si>
  <si>
    <r>
      <rPr>
        <sz val="12"/>
        <rFont val="標楷體"/>
        <family val="4"/>
        <charset val="136"/>
      </rPr>
      <t>林冠甫</t>
    </r>
  </si>
  <si>
    <r>
      <rPr>
        <sz val="12"/>
        <rFont val="標楷體"/>
        <family val="4"/>
        <charset val="136"/>
      </rPr>
      <t>陳宥銨</t>
    </r>
  </si>
  <si>
    <r>
      <rPr>
        <sz val="12"/>
        <rFont val="標楷體"/>
        <family val="4"/>
        <charset val="136"/>
      </rPr>
      <t>吳嘉健</t>
    </r>
  </si>
  <si>
    <r>
      <rPr>
        <sz val="12"/>
        <rFont val="標楷體"/>
        <family val="4"/>
        <charset val="136"/>
      </rPr>
      <t>陳沛綸</t>
    </r>
  </si>
  <si>
    <r>
      <rPr>
        <sz val="12"/>
        <rFont val="標楷體"/>
        <family val="4"/>
        <charset val="136"/>
      </rPr>
      <t>張樂安</t>
    </r>
  </si>
  <si>
    <r>
      <rPr>
        <sz val="12"/>
        <rFont val="標楷體"/>
        <family val="4"/>
        <charset val="136"/>
      </rPr>
      <t>蘇沛心</t>
    </r>
  </si>
  <si>
    <r>
      <rPr>
        <sz val="12"/>
        <rFont val="標楷體"/>
        <family val="4"/>
        <charset val="136"/>
      </rPr>
      <t>張竹茵</t>
    </r>
  </si>
  <si>
    <r>
      <rPr>
        <sz val="12"/>
        <rFont val="標楷體"/>
        <family val="4"/>
        <charset val="136"/>
      </rPr>
      <t>陳柏倫</t>
    </r>
  </si>
  <si>
    <r>
      <t>1.109.10.26</t>
    </r>
    <r>
      <rPr>
        <sz val="12"/>
        <rFont val="標楷體"/>
        <family val="4"/>
        <charset val="136"/>
      </rPr>
      <t>校慶繞場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</si>
</sst>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Times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>
      <alignment vertical="center"/>
    </xf>
    <xf numFmtId="0" fontId="0" fillId="0" borderId="0" xfId="0" applyFont="1" applyFill="1" applyProtection="1">
      <alignment vertical="center"/>
      <protection locked="0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0" fillId="0" borderId="2" xfId="0" applyFont="1" applyFill="1" applyBorder="1" applyProtection="1">
      <alignment vertical="center"/>
      <protection locked="0"/>
    </xf>
    <xf numFmtId="0" fontId="4" fillId="0" borderId="2" xfId="0" applyFont="1" applyBorder="1">
      <alignment vertical="center"/>
    </xf>
    <xf numFmtId="0" fontId="4" fillId="0" borderId="2" xfId="0" applyFont="1" applyFill="1" applyBorder="1" applyProtection="1">
      <alignment vertical="center"/>
      <protection locked="0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4" xfId="0" applyFont="1" applyFill="1" applyBorder="1" applyProtection="1">
      <alignment vertical="center"/>
      <protection locked="0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5" fillId="0" borderId="2" xfId="0" applyFont="1" applyFill="1" applyBorder="1">
      <alignment vertical="center"/>
    </xf>
    <xf numFmtId="0" fontId="0" fillId="0" borderId="2" xfId="0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176" fontId="4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0" fillId="0" borderId="2" xfId="0" applyNumberForma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2" fillId="0" borderId="2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>
      <alignment vertical="center"/>
    </xf>
    <xf numFmtId="176" fontId="0" fillId="0" borderId="2" xfId="0" applyNumberFormat="1" applyFill="1" applyBorder="1">
      <alignment vertical="center"/>
    </xf>
    <xf numFmtId="176" fontId="0" fillId="0" borderId="0" xfId="0" applyNumberForma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2" xfId="0" applyFont="1" applyBorder="1" applyProtection="1">
      <alignment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sherryamy2002@yahoo.com.tw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mailto:windidea@yahoo.com.tw" TargetMode="External"/><Relationship Id="rId1" Type="http://schemas.openxmlformats.org/officeDocument/2006/relationships/hyperlink" Target="mailto:balanceablekey@yahoo.com.tw" TargetMode="External"/><Relationship Id="rId6" Type="http://schemas.openxmlformats.org/officeDocument/2006/relationships/hyperlink" Target="mailto:bestsherry27@hotmail.com" TargetMode="External"/><Relationship Id="rId5" Type="http://schemas.openxmlformats.org/officeDocument/2006/relationships/hyperlink" Target="mailto:ek10502@yahoo.com.tw" TargetMode="External"/><Relationship Id="rId4" Type="http://schemas.openxmlformats.org/officeDocument/2006/relationships/hyperlink" Target="mailto:jay6692@yahoo.com.tw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70" workbookViewId="0">
      <selection activeCell="G88" sqref="G88"/>
    </sheetView>
  </sheetViews>
  <sheetFormatPr defaultRowHeight="16.2"/>
  <cols>
    <col min="1" max="1" width="13.109375" style="2" customWidth="1"/>
    <col min="2" max="2" width="10.5546875" style="2" customWidth="1"/>
    <col min="3" max="3" width="8.88671875" style="45"/>
    <col min="4" max="10" width="8.88671875" style="2"/>
  </cols>
  <sheetData>
    <row r="1" spans="1:10">
      <c r="A1" s="4" t="s">
        <v>2410</v>
      </c>
      <c r="B1" s="4"/>
      <c r="C1" s="86">
        <f>MAX(J3:J97)</f>
        <v>1</v>
      </c>
      <c r="G1" s="45"/>
      <c r="J1" s="85"/>
    </row>
    <row r="2" spans="1:10">
      <c r="A2" s="104" t="s">
        <v>1912</v>
      </c>
      <c r="B2" s="104" t="s">
        <v>1913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108" t="s">
        <v>1914</v>
      </c>
    </row>
    <row r="3" spans="1:10">
      <c r="A3" s="2" t="s">
        <v>2274</v>
      </c>
      <c r="B3" s="2" t="s">
        <v>1987</v>
      </c>
      <c r="J3" s="2">
        <f>SUM(C3:I3)</f>
        <v>0</v>
      </c>
    </row>
    <row r="4" spans="1:10">
      <c r="A4" s="2" t="s">
        <v>2275</v>
      </c>
      <c r="B4" s="2" t="s">
        <v>1994</v>
      </c>
      <c r="J4" s="2">
        <f>SUM(C4:I4)</f>
        <v>0</v>
      </c>
    </row>
    <row r="5" spans="1:10">
      <c r="A5" s="2" t="s">
        <v>2411</v>
      </c>
      <c r="B5" s="2" t="s">
        <v>2421</v>
      </c>
      <c r="J5" s="2">
        <f>SUM(C5:I5)</f>
        <v>0</v>
      </c>
    </row>
    <row r="6" spans="1:10">
      <c r="A6" s="2" t="s">
        <v>2276</v>
      </c>
      <c r="B6" s="2" t="s">
        <v>2360</v>
      </c>
      <c r="J6" s="2">
        <f>SUM(C6:I6)</f>
        <v>0</v>
      </c>
    </row>
    <row r="7" spans="1:10">
      <c r="A7" s="2" t="s">
        <v>2412</v>
      </c>
      <c r="B7" s="2" t="s">
        <v>2422</v>
      </c>
      <c r="C7" s="45">
        <v>1</v>
      </c>
      <c r="J7" s="2">
        <f>SUM(C7:I7)</f>
        <v>1</v>
      </c>
    </row>
    <row r="8" spans="1:10">
      <c r="A8" s="2" t="s">
        <v>2277</v>
      </c>
      <c r="B8" s="2" t="s">
        <v>2361</v>
      </c>
      <c r="J8" s="2">
        <f>SUM(C8:I8)</f>
        <v>0</v>
      </c>
    </row>
    <row r="9" spans="1:10">
      <c r="A9" s="2" t="s">
        <v>2413</v>
      </c>
      <c r="B9" s="2" t="s">
        <v>2423</v>
      </c>
      <c r="J9" s="2">
        <f>SUM(C9:I9)</f>
        <v>0</v>
      </c>
    </row>
    <row r="10" spans="1:10">
      <c r="A10" s="2" t="s">
        <v>2278</v>
      </c>
      <c r="B10" s="2" t="s">
        <v>2362</v>
      </c>
      <c r="J10" s="2">
        <f>SUM(C10:I10)</f>
        <v>0</v>
      </c>
    </row>
    <row r="11" spans="1:10">
      <c r="A11" s="2" t="s">
        <v>2414</v>
      </c>
      <c r="B11" s="2" t="s">
        <v>2424</v>
      </c>
      <c r="C11" s="45">
        <v>1</v>
      </c>
      <c r="J11" s="2">
        <f>SUM(C11:I11)</f>
        <v>1</v>
      </c>
    </row>
    <row r="12" spans="1:10">
      <c r="A12" s="2" t="s">
        <v>2279</v>
      </c>
      <c r="B12" s="2" t="s">
        <v>2363</v>
      </c>
      <c r="J12" s="2">
        <f>SUM(C12:I12)</f>
        <v>0</v>
      </c>
    </row>
    <row r="13" spans="1:10">
      <c r="A13" s="2" t="s">
        <v>2415</v>
      </c>
      <c r="B13" s="2" t="s">
        <v>2425</v>
      </c>
      <c r="J13" s="2">
        <f>SUM(C13:I13)</f>
        <v>0</v>
      </c>
    </row>
    <row r="14" spans="1:10">
      <c r="A14" s="2" t="s">
        <v>2280</v>
      </c>
      <c r="B14" s="2" t="s">
        <v>2364</v>
      </c>
      <c r="J14" s="2">
        <f>SUM(C14:I14)</f>
        <v>0</v>
      </c>
    </row>
    <row r="15" spans="1:10">
      <c r="A15" s="2" t="s">
        <v>2416</v>
      </c>
      <c r="B15" s="2" t="s">
        <v>2426</v>
      </c>
      <c r="J15" s="2">
        <f>SUM(C15:I15)</f>
        <v>0</v>
      </c>
    </row>
    <row r="16" spans="1:10">
      <c r="A16" s="2" t="s">
        <v>2281</v>
      </c>
      <c r="B16" s="2" t="s">
        <v>2365</v>
      </c>
      <c r="J16" s="2">
        <f>SUM(C16:I16)</f>
        <v>0</v>
      </c>
    </row>
    <row r="17" spans="1:10">
      <c r="A17" s="2" t="s">
        <v>2417</v>
      </c>
      <c r="B17" s="2" t="s">
        <v>2427</v>
      </c>
      <c r="C17" s="45">
        <v>1</v>
      </c>
      <c r="J17" s="2">
        <f>SUM(C17:I17)</f>
        <v>1</v>
      </c>
    </row>
    <row r="18" spans="1:10">
      <c r="A18" s="2" t="s">
        <v>2282</v>
      </c>
      <c r="B18" s="2" t="s">
        <v>2366</v>
      </c>
      <c r="J18" s="2">
        <f>SUM(C18:I18)</f>
        <v>0</v>
      </c>
    </row>
    <row r="19" spans="1:10">
      <c r="A19" s="2" t="s">
        <v>2283</v>
      </c>
      <c r="B19" s="2" t="s">
        <v>2367</v>
      </c>
      <c r="C19" s="45">
        <v>1</v>
      </c>
      <c r="J19" s="2">
        <f>SUM(C19:I19)</f>
        <v>1</v>
      </c>
    </row>
    <row r="20" spans="1:10">
      <c r="A20" s="2" t="s">
        <v>2418</v>
      </c>
      <c r="B20" s="2" t="s">
        <v>2428</v>
      </c>
      <c r="C20" s="45">
        <v>1</v>
      </c>
      <c r="J20" s="2">
        <f>SUM(C20:I20)</f>
        <v>1</v>
      </c>
    </row>
    <row r="21" spans="1:10">
      <c r="A21" s="2" t="s">
        <v>2284</v>
      </c>
      <c r="B21" s="2" t="s">
        <v>2368</v>
      </c>
      <c r="C21" s="45">
        <v>1</v>
      </c>
      <c r="J21" s="2">
        <f>SUM(C21:I21)</f>
        <v>1</v>
      </c>
    </row>
    <row r="22" spans="1:10">
      <c r="A22" s="2" t="s">
        <v>2285</v>
      </c>
      <c r="B22" s="2" t="s">
        <v>2369</v>
      </c>
      <c r="J22" s="2">
        <f>SUM(C22:I22)</f>
        <v>0</v>
      </c>
    </row>
    <row r="23" spans="1:10">
      <c r="A23" s="2" t="s">
        <v>2419</v>
      </c>
      <c r="B23" s="2" t="s">
        <v>2429</v>
      </c>
      <c r="J23" s="2">
        <f>SUM(C23:I23)</f>
        <v>0</v>
      </c>
    </row>
    <row r="24" spans="1:10">
      <c r="A24" s="2" t="s">
        <v>2286</v>
      </c>
      <c r="B24" s="2" t="s">
        <v>2370</v>
      </c>
      <c r="J24" s="2">
        <f>SUM(C24:I24)</f>
        <v>0</v>
      </c>
    </row>
    <row r="25" spans="1:10">
      <c r="A25" s="2" t="s">
        <v>2287</v>
      </c>
      <c r="B25" s="2" t="s">
        <v>2371</v>
      </c>
      <c r="J25" s="2">
        <f>SUM(C25:I25)</f>
        <v>0</v>
      </c>
    </row>
    <row r="26" spans="1:10">
      <c r="A26" s="2" t="s">
        <v>2240</v>
      </c>
      <c r="B26" s="2" t="s">
        <v>2326</v>
      </c>
      <c r="J26" s="2">
        <f>SUM(C26:I26)</f>
        <v>0</v>
      </c>
    </row>
    <row r="27" spans="1:10">
      <c r="A27" s="2" t="s">
        <v>2288</v>
      </c>
      <c r="B27" s="2" t="s">
        <v>2372</v>
      </c>
      <c r="J27" s="2">
        <f>SUM(C27:I27)</f>
        <v>0</v>
      </c>
    </row>
    <row r="28" spans="1:10">
      <c r="A28" s="2" t="s">
        <v>2241</v>
      </c>
      <c r="B28" s="2" t="s">
        <v>2327</v>
      </c>
      <c r="J28" s="2">
        <f>SUM(C28:I28)</f>
        <v>0</v>
      </c>
    </row>
    <row r="29" spans="1:10">
      <c r="A29" s="2" t="s">
        <v>2289</v>
      </c>
      <c r="B29" s="2" t="s">
        <v>2373</v>
      </c>
      <c r="J29" s="2">
        <f>SUM(C29:I29)</f>
        <v>0</v>
      </c>
    </row>
    <row r="30" spans="1:10">
      <c r="A30" s="2" t="s">
        <v>2242</v>
      </c>
      <c r="B30" s="2" t="s">
        <v>2328</v>
      </c>
      <c r="J30" s="2">
        <f>SUM(C30:I30)</f>
        <v>0</v>
      </c>
    </row>
    <row r="31" spans="1:10">
      <c r="A31" s="2" t="s">
        <v>2290</v>
      </c>
      <c r="B31" s="2" t="s">
        <v>2374</v>
      </c>
      <c r="C31" s="45">
        <v>1</v>
      </c>
      <c r="J31" s="2">
        <f>SUM(C31:I31)</f>
        <v>1</v>
      </c>
    </row>
    <row r="32" spans="1:10">
      <c r="A32" s="2" t="s">
        <v>2243</v>
      </c>
      <c r="B32" s="2" t="s">
        <v>2329</v>
      </c>
      <c r="J32" s="2">
        <f>SUM(C32:I32)</f>
        <v>0</v>
      </c>
    </row>
    <row r="33" spans="1:10">
      <c r="A33" s="2" t="s">
        <v>2291</v>
      </c>
      <c r="B33" s="2" t="s">
        <v>2375</v>
      </c>
      <c r="J33" s="2">
        <f>SUM(C33:I33)</f>
        <v>0</v>
      </c>
    </row>
    <row r="34" spans="1:10">
      <c r="A34" s="2" t="s">
        <v>2244</v>
      </c>
      <c r="B34" s="2" t="s">
        <v>2330</v>
      </c>
      <c r="C34" s="45">
        <v>1</v>
      </c>
      <c r="J34" s="2">
        <f>SUM(C34:I34)</f>
        <v>1</v>
      </c>
    </row>
    <row r="35" spans="1:10">
      <c r="A35" s="2" t="s">
        <v>2292</v>
      </c>
      <c r="B35" s="2" t="s">
        <v>2376</v>
      </c>
      <c r="J35" s="2">
        <f>SUM(C35:I35)</f>
        <v>0</v>
      </c>
    </row>
    <row r="36" spans="1:10">
      <c r="A36" s="2" t="s">
        <v>2245</v>
      </c>
      <c r="B36" s="2" t="s">
        <v>2331</v>
      </c>
      <c r="J36" s="2">
        <f>SUM(C36:I36)</f>
        <v>0</v>
      </c>
    </row>
    <row r="37" spans="1:10">
      <c r="A37" s="2" t="s">
        <v>2293</v>
      </c>
      <c r="B37" s="2" t="s">
        <v>2377</v>
      </c>
      <c r="J37" s="2">
        <f>SUM(C37:I37)</f>
        <v>0</v>
      </c>
    </row>
    <row r="38" spans="1:10">
      <c r="A38" s="2" t="s">
        <v>2246</v>
      </c>
      <c r="B38" s="2" t="s">
        <v>2332</v>
      </c>
      <c r="J38" s="2">
        <f>SUM(C38:I38)</f>
        <v>0</v>
      </c>
    </row>
    <row r="39" spans="1:10">
      <c r="A39" s="2" t="s">
        <v>2294</v>
      </c>
      <c r="B39" s="2" t="s">
        <v>2378</v>
      </c>
      <c r="J39" s="2">
        <f>SUM(C39:I39)</f>
        <v>0</v>
      </c>
    </row>
    <row r="40" spans="1:10">
      <c r="A40" s="2" t="s">
        <v>2247</v>
      </c>
      <c r="B40" s="2" t="s">
        <v>2333</v>
      </c>
      <c r="J40" s="2">
        <f>SUM(C40:I40)</f>
        <v>0</v>
      </c>
    </row>
    <row r="41" spans="1:10">
      <c r="A41" s="2" t="s">
        <v>2295</v>
      </c>
      <c r="B41" s="2" t="s">
        <v>2379</v>
      </c>
      <c r="C41" s="45">
        <v>1</v>
      </c>
      <c r="J41" s="2">
        <f>SUM(C41:I41)</f>
        <v>1</v>
      </c>
    </row>
    <row r="42" spans="1:10">
      <c r="A42" s="2" t="s">
        <v>2248</v>
      </c>
      <c r="B42" s="2" t="s">
        <v>2334</v>
      </c>
      <c r="C42" s="45">
        <v>1</v>
      </c>
      <c r="J42" s="2">
        <f>SUM(C42:I42)</f>
        <v>1</v>
      </c>
    </row>
    <row r="43" spans="1:10">
      <c r="A43" s="2" t="s">
        <v>2296</v>
      </c>
      <c r="B43" s="2" t="s">
        <v>2380</v>
      </c>
      <c r="C43" s="45">
        <v>1</v>
      </c>
      <c r="J43" s="2">
        <f>SUM(C43:I43)</f>
        <v>1</v>
      </c>
    </row>
    <row r="44" spans="1:10">
      <c r="A44" s="2" t="s">
        <v>2249</v>
      </c>
      <c r="B44" s="2" t="s">
        <v>2335</v>
      </c>
      <c r="C44" s="45">
        <v>1</v>
      </c>
      <c r="J44" s="2">
        <f>SUM(C44:I44)</f>
        <v>1</v>
      </c>
    </row>
    <row r="45" spans="1:10">
      <c r="A45" s="2" t="s">
        <v>2297</v>
      </c>
      <c r="B45" s="2" t="s">
        <v>2381</v>
      </c>
      <c r="J45" s="2">
        <f>SUM(C45:I45)</f>
        <v>0</v>
      </c>
    </row>
    <row r="46" spans="1:10">
      <c r="A46" s="2" t="s">
        <v>2250</v>
      </c>
      <c r="B46" s="2" t="s">
        <v>2336</v>
      </c>
      <c r="J46" s="2">
        <f>SUM(C46:I46)</f>
        <v>0</v>
      </c>
    </row>
    <row r="47" spans="1:10">
      <c r="A47" s="2" t="s">
        <v>2298</v>
      </c>
      <c r="B47" s="2" t="s">
        <v>2382</v>
      </c>
      <c r="J47" s="2">
        <f>SUM(C47:I47)</f>
        <v>0</v>
      </c>
    </row>
    <row r="48" spans="1:10">
      <c r="A48" s="2" t="s">
        <v>2299</v>
      </c>
      <c r="B48" s="2" t="s">
        <v>2383</v>
      </c>
      <c r="C48" s="45">
        <v>1</v>
      </c>
      <c r="J48" s="2">
        <f>SUM(C48:I48)</f>
        <v>1</v>
      </c>
    </row>
    <row r="49" spans="1:10">
      <c r="A49" s="2" t="s">
        <v>2251</v>
      </c>
      <c r="B49" s="2" t="s">
        <v>2337</v>
      </c>
      <c r="J49" s="2">
        <f>SUM(C49:I49)</f>
        <v>0</v>
      </c>
    </row>
    <row r="50" spans="1:10">
      <c r="A50" s="2" t="s">
        <v>2300</v>
      </c>
      <c r="B50" s="2" t="s">
        <v>2384</v>
      </c>
      <c r="J50" s="2">
        <f>SUM(C50:I50)</f>
        <v>0</v>
      </c>
    </row>
    <row r="51" spans="1:10">
      <c r="A51" s="2" t="s">
        <v>2252</v>
      </c>
      <c r="B51" s="2" t="s">
        <v>2338</v>
      </c>
      <c r="J51" s="2">
        <f>SUM(C51:I51)</f>
        <v>0</v>
      </c>
    </row>
    <row r="52" spans="1:10">
      <c r="A52" s="2" t="s">
        <v>2301</v>
      </c>
      <c r="B52" s="2" t="s">
        <v>2385</v>
      </c>
      <c r="C52" s="45">
        <v>1</v>
      </c>
      <c r="J52" s="2">
        <f>SUM(C52:I52)</f>
        <v>1</v>
      </c>
    </row>
    <row r="53" spans="1:10">
      <c r="A53" s="2" t="s">
        <v>2302</v>
      </c>
      <c r="B53" s="2" t="s">
        <v>2386</v>
      </c>
      <c r="J53" s="2">
        <f>SUM(C53:I53)</f>
        <v>0</v>
      </c>
    </row>
    <row r="54" spans="1:10">
      <c r="A54" s="2" t="s">
        <v>2253</v>
      </c>
      <c r="B54" s="2" t="s">
        <v>2339</v>
      </c>
      <c r="J54" s="2">
        <f>SUM(C54:I54)</f>
        <v>0</v>
      </c>
    </row>
    <row r="55" spans="1:10">
      <c r="A55" s="2" t="s">
        <v>2303</v>
      </c>
      <c r="B55" s="2" t="s">
        <v>2387</v>
      </c>
      <c r="C55" s="45">
        <v>1</v>
      </c>
      <c r="J55" s="2">
        <f>SUM(C55:I55)</f>
        <v>1</v>
      </c>
    </row>
    <row r="56" spans="1:10">
      <c r="A56" s="2" t="s">
        <v>2254</v>
      </c>
      <c r="B56" s="2" t="s">
        <v>2340</v>
      </c>
      <c r="J56" s="2">
        <f>SUM(C56:I56)</f>
        <v>0</v>
      </c>
    </row>
    <row r="57" spans="1:10">
      <c r="A57" s="2" t="s">
        <v>2304</v>
      </c>
      <c r="B57" s="2" t="s">
        <v>2388</v>
      </c>
      <c r="J57" s="2">
        <f>SUM(C57:I57)</f>
        <v>0</v>
      </c>
    </row>
    <row r="58" spans="1:10">
      <c r="A58" s="2" t="s">
        <v>2255</v>
      </c>
      <c r="B58" s="2" t="s">
        <v>2341</v>
      </c>
      <c r="J58" s="2">
        <f>SUM(C58:I58)</f>
        <v>0</v>
      </c>
    </row>
    <row r="59" spans="1:10">
      <c r="A59" s="2" t="s">
        <v>2305</v>
      </c>
      <c r="B59" s="2" t="s">
        <v>2389</v>
      </c>
      <c r="J59" s="2">
        <f>SUM(C59:I59)</f>
        <v>0</v>
      </c>
    </row>
    <row r="60" spans="1:10">
      <c r="A60" s="2" t="s">
        <v>2256</v>
      </c>
      <c r="B60" s="2" t="s">
        <v>2342</v>
      </c>
      <c r="J60" s="2">
        <f>SUM(C60:I60)</f>
        <v>0</v>
      </c>
    </row>
    <row r="61" spans="1:10">
      <c r="A61" s="2" t="s">
        <v>2306</v>
      </c>
      <c r="B61" s="2" t="s">
        <v>2390</v>
      </c>
      <c r="C61" s="45">
        <v>1</v>
      </c>
      <c r="J61" s="2">
        <f>SUM(C61:I61)</f>
        <v>1</v>
      </c>
    </row>
    <row r="62" spans="1:10">
      <c r="A62" s="2" t="s">
        <v>2257</v>
      </c>
      <c r="B62" s="2" t="s">
        <v>2343</v>
      </c>
      <c r="J62" s="2">
        <f>SUM(C62:I62)</f>
        <v>0</v>
      </c>
    </row>
    <row r="63" spans="1:10">
      <c r="A63" s="2" t="s">
        <v>2307</v>
      </c>
      <c r="B63" s="2" t="s">
        <v>2391</v>
      </c>
      <c r="J63" s="2">
        <f>SUM(C63:I63)</f>
        <v>0</v>
      </c>
    </row>
    <row r="64" spans="1:10">
      <c r="A64" s="2" t="s">
        <v>2258</v>
      </c>
      <c r="B64" s="2" t="s">
        <v>2344</v>
      </c>
      <c r="J64" s="2">
        <f>SUM(C64:I64)</f>
        <v>0</v>
      </c>
    </row>
    <row r="65" spans="1:10">
      <c r="A65" s="2" t="s">
        <v>2308</v>
      </c>
      <c r="B65" s="2" t="s">
        <v>2392</v>
      </c>
      <c r="C65" s="45">
        <v>1</v>
      </c>
      <c r="J65" s="2">
        <f>SUM(C65:I65)</f>
        <v>1</v>
      </c>
    </row>
    <row r="66" spans="1:10">
      <c r="A66" s="2" t="s">
        <v>2309</v>
      </c>
      <c r="B66" s="2" t="s">
        <v>2393</v>
      </c>
      <c r="J66" s="2">
        <f>SUM(C66:I66)</f>
        <v>0</v>
      </c>
    </row>
    <row r="67" spans="1:10">
      <c r="A67" s="2" t="s">
        <v>2259</v>
      </c>
      <c r="B67" s="2" t="s">
        <v>2345</v>
      </c>
      <c r="J67" s="2">
        <f>SUM(C67:I67)</f>
        <v>0</v>
      </c>
    </row>
    <row r="68" spans="1:10">
      <c r="A68" s="2" t="s">
        <v>2310</v>
      </c>
      <c r="B68" s="2" t="s">
        <v>2394</v>
      </c>
      <c r="J68" s="2">
        <f>SUM(C68:I68)</f>
        <v>0</v>
      </c>
    </row>
    <row r="69" spans="1:10">
      <c r="A69" s="2" t="s">
        <v>2260</v>
      </c>
      <c r="B69" s="2" t="s">
        <v>2346</v>
      </c>
      <c r="J69" s="2">
        <f>SUM(C69:I69)</f>
        <v>0</v>
      </c>
    </row>
    <row r="70" spans="1:10">
      <c r="A70" s="2" t="s">
        <v>2311</v>
      </c>
      <c r="B70" s="2" t="s">
        <v>2395</v>
      </c>
      <c r="C70" s="45">
        <v>1</v>
      </c>
      <c r="J70" s="2">
        <f>SUM(C70:I70)</f>
        <v>1</v>
      </c>
    </row>
    <row r="71" spans="1:10">
      <c r="A71" s="2" t="s">
        <v>2261</v>
      </c>
      <c r="B71" s="2" t="s">
        <v>2347</v>
      </c>
      <c r="C71" s="45">
        <v>1</v>
      </c>
      <c r="J71" s="2">
        <f>SUM(C71:I71)</f>
        <v>1</v>
      </c>
    </row>
    <row r="72" spans="1:10">
      <c r="A72" s="2" t="s">
        <v>2312</v>
      </c>
      <c r="B72" s="2" t="s">
        <v>2396</v>
      </c>
      <c r="J72" s="2">
        <f>SUM(C72:I72)</f>
        <v>0</v>
      </c>
    </row>
    <row r="73" spans="1:10">
      <c r="A73" s="2" t="s">
        <v>2262</v>
      </c>
      <c r="B73" s="2" t="s">
        <v>2348</v>
      </c>
      <c r="J73" s="2">
        <f>SUM(C73:I73)</f>
        <v>0</v>
      </c>
    </row>
    <row r="74" spans="1:10">
      <c r="A74" s="2" t="s">
        <v>2313</v>
      </c>
      <c r="B74" s="2" t="s">
        <v>2397</v>
      </c>
      <c r="C74" s="45">
        <v>1</v>
      </c>
      <c r="J74" s="2">
        <f>SUM(C74:I74)</f>
        <v>1</v>
      </c>
    </row>
    <row r="75" spans="1:10">
      <c r="A75" s="2" t="s">
        <v>2314</v>
      </c>
      <c r="B75" s="2" t="s">
        <v>2398</v>
      </c>
      <c r="C75" s="45">
        <v>1</v>
      </c>
      <c r="J75" s="2">
        <f>SUM(C75:I75)</f>
        <v>1</v>
      </c>
    </row>
    <row r="76" spans="1:10">
      <c r="A76" s="2" t="s">
        <v>2263</v>
      </c>
      <c r="B76" s="2" t="s">
        <v>2349</v>
      </c>
      <c r="C76" s="45">
        <v>1</v>
      </c>
      <c r="J76" s="2">
        <f>SUM(C76:I76)</f>
        <v>1</v>
      </c>
    </row>
    <row r="77" spans="1:10">
      <c r="A77" s="2" t="s">
        <v>2315</v>
      </c>
      <c r="B77" s="2" t="s">
        <v>2399</v>
      </c>
      <c r="J77" s="2">
        <f>SUM(C77:I77)</f>
        <v>0</v>
      </c>
    </row>
    <row r="78" spans="1:10">
      <c r="A78" s="2" t="s">
        <v>2316</v>
      </c>
      <c r="B78" s="2" t="s">
        <v>2400</v>
      </c>
      <c r="C78" s="45">
        <v>1</v>
      </c>
      <c r="J78" s="2">
        <f>SUM(C78:I78)</f>
        <v>1</v>
      </c>
    </row>
    <row r="79" spans="1:10">
      <c r="A79" s="2" t="s">
        <v>2317</v>
      </c>
      <c r="B79" s="2" t="s">
        <v>2401</v>
      </c>
      <c r="J79" s="2">
        <f>SUM(C79:I79)</f>
        <v>0</v>
      </c>
    </row>
    <row r="80" spans="1:10">
      <c r="A80" s="2" t="s">
        <v>2264</v>
      </c>
      <c r="B80" s="2" t="s">
        <v>2350</v>
      </c>
      <c r="J80" s="2">
        <f>SUM(C80:I80)</f>
        <v>0</v>
      </c>
    </row>
    <row r="81" spans="1:10">
      <c r="A81" s="2" t="s">
        <v>2318</v>
      </c>
      <c r="B81" s="2" t="s">
        <v>2402</v>
      </c>
      <c r="C81" s="45">
        <v>1</v>
      </c>
      <c r="J81" s="2">
        <f>SUM(C81:I81)</f>
        <v>1</v>
      </c>
    </row>
    <row r="82" spans="1:10">
      <c r="A82" s="2" t="s">
        <v>2265</v>
      </c>
      <c r="B82" s="2" t="s">
        <v>2351</v>
      </c>
      <c r="J82" s="2">
        <f>SUM(C82:I82)</f>
        <v>0</v>
      </c>
    </row>
    <row r="83" spans="1:10">
      <c r="A83" s="2" t="s">
        <v>2266</v>
      </c>
      <c r="B83" s="2" t="s">
        <v>2352</v>
      </c>
      <c r="J83" s="2">
        <f>SUM(C83:I83)</f>
        <v>0</v>
      </c>
    </row>
    <row r="84" spans="1:10">
      <c r="A84" s="2" t="s">
        <v>2267</v>
      </c>
      <c r="B84" s="2" t="s">
        <v>2353</v>
      </c>
      <c r="J84" s="2">
        <f>SUM(C84:I84)</f>
        <v>0</v>
      </c>
    </row>
    <row r="85" spans="1:10">
      <c r="A85" s="2" t="s">
        <v>2319</v>
      </c>
      <c r="B85" s="2" t="s">
        <v>2403</v>
      </c>
      <c r="C85" s="45">
        <v>1</v>
      </c>
      <c r="J85" s="2">
        <f>SUM(C85:I85)</f>
        <v>1</v>
      </c>
    </row>
    <row r="86" spans="1:10">
      <c r="A86" s="2" t="s">
        <v>2268</v>
      </c>
      <c r="B86" s="2" t="s">
        <v>2354</v>
      </c>
      <c r="J86" s="2">
        <f>SUM(C86:I86)</f>
        <v>0</v>
      </c>
    </row>
    <row r="87" spans="1:10">
      <c r="A87" s="2" t="s">
        <v>2320</v>
      </c>
      <c r="B87" s="2" t="s">
        <v>2404</v>
      </c>
      <c r="J87" s="2">
        <f>SUM(C87:I87)</f>
        <v>0</v>
      </c>
    </row>
    <row r="88" spans="1:10">
      <c r="A88" s="2" t="s">
        <v>2269</v>
      </c>
      <c r="B88" s="2" t="s">
        <v>2355</v>
      </c>
      <c r="C88" s="45">
        <v>1</v>
      </c>
      <c r="J88" s="2">
        <f>SUM(C88:I88)</f>
        <v>1</v>
      </c>
    </row>
    <row r="89" spans="1:10">
      <c r="A89" s="2" t="s">
        <v>2270</v>
      </c>
      <c r="B89" s="2" t="s">
        <v>2356</v>
      </c>
      <c r="J89" s="2">
        <f>SUM(C89:I89)</f>
        <v>0</v>
      </c>
    </row>
    <row r="90" spans="1:10">
      <c r="A90" s="2" t="s">
        <v>2321</v>
      </c>
      <c r="B90" s="2" t="s">
        <v>2405</v>
      </c>
      <c r="J90" s="2">
        <f>SUM(C90:I90)</f>
        <v>0</v>
      </c>
    </row>
    <row r="91" spans="1:10">
      <c r="A91" s="2" t="s">
        <v>2271</v>
      </c>
      <c r="B91" s="2" t="s">
        <v>2357</v>
      </c>
      <c r="J91" s="2">
        <f>SUM(C91:I91)</f>
        <v>0</v>
      </c>
    </row>
    <row r="92" spans="1:10">
      <c r="A92" s="2" t="s">
        <v>2322</v>
      </c>
      <c r="B92" s="2" t="s">
        <v>2406</v>
      </c>
      <c r="C92" s="45">
        <v>1</v>
      </c>
      <c r="J92" s="2">
        <f>SUM(C92:I92)</f>
        <v>1</v>
      </c>
    </row>
    <row r="93" spans="1:10">
      <c r="A93" s="2" t="s">
        <v>2272</v>
      </c>
      <c r="B93" s="2" t="s">
        <v>2358</v>
      </c>
      <c r="C93" s="45">
        <v>1</v>
      </c>
      <c r="J93" s="2">
        <f>SUM(C93:I93)</f>
        <v>1</v>
      </c>
    </row>
    <row r="94" spans="1:10">
      <c r="A94" s="2" t="s">
        <v>2323</v>
      </c>
      <c r="B94" s="2" t="s">
        <v>2407</v>
      </c>
      <c r="J94" s="2">
        <f>SUM(C94:I94)</f>
        <v>0</v>
      </c>
    </row>
    <row r="95" spans="1:10">
      <c r="A95" s="2" t="s">
        <v>2273</v>
      </c>
      <c r="B95" s="2" t="s">
        <v>2359</v>
      </c>
      <c r="J95" s="2">
        <f>SUM(C95:I95)</f>
        <v>0</v>
      </c>
    </row>
    <row r="96" spans="1:10">
      <c r="A96" s="2" t="s">
        <v>2324</v>
      </c>
      <c r="B96" s="2" t="s">
        <v>2408</v>
      </c>
      <c r="J96" s="2">
        <f>SUM(C96:I96)</f>
        <v>0</v>
      </c>
    </row>
    <row r="97" spans="1:10">
      <c r="A97" s="2" t="s">
        <v>2325</v>
      </c>
      <c r="B97" s="2" t="s">
        <v>2409</v>
      </c>
      <c r="J97" s="2">
        <f>SUM(C97:I97)</f>
        <v>0</v>
      </c>
    </row>
    <row r="102" spans="1:10">
      <c r="B102" s="2" t="s">
        <v>2420</v>
      </c>
      <c r="C102" s="45">
        <f>MEDIAN(J3:J97)</f>
        <v>0</v>
      </c>
    </row>
    <row r="104" spans="1:10">
      <c r="A104" s="2" t="s">
        <v>2430</v>
      </c>
    </row>
  </sheetData>
  <sortState ref="A3:J97">
    <sortCondition ref="A3"/>
  </sortState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opLeftCell="A79" workbookViewId="0">
      <selection activeCell="B92" sqref="B92"/>
    </sheetView>
  </sheetViews>
  <sheetFormatPr defaultRowHeight="16.2"/>
  <cols>
    <col min="1" max="1" width="13.77734375" customWidth="1"/>
    <col min="2" max="2" width="9.109375" customWidth="1"/>
    <col min="3" max="3" width="6.77734375" customWidth="1"/>
    <col min="4" max="4" width="6.6640625" style="44" customWidth="1"/>
    <col min="5" max="5" width="5.44140625" style="44" customWidth="1"/>
    <col min="6" max="6" width="5.6640625" style="44" customWidth="1"/>
    <col min="7" max="7" width="6.109375" customWidth="1"/>
    <col min="8" max="8" width="7.44140625" bestFit="1" customWidth="1"/>
    <col min="9" max="11" width="7.44140625" customWidth="1"/>
    <col min="12" max="17" width="7.44140625" style="53" customWidth="1"/>
    <col min="18" max="18" width="9" style="53"/>
  </cols>
  <sheetData>
    <row r="1" spans="1:18">
      <c r="A1" s="1" t="s">
        <v>700</v>
      </c>
      <c r="B1" s="2"/>
      <c r="C1" s="67">
        <f>MAX(R1:R102)</f>
        <v>6</v>
      </c>
      <c r="D1" s="45"/>
      <c r="E1" s="45"/>
      <c r="F1" s="45"/>
      <c r="G1" s="2"/>
      <c r="H1" s="2"/>
      <c r="I1" s="2"/>
      <c r="J1" s="2"/>
      <c r="K1" s="2"/>
      <c r="L1" s="50"/>
      <c r="M1" s="50"/>
      <c r="N1" s="50"/>
      <c r="O1" s="50"/>
      <c r="P1" s="50"/>
      <c r="Q1" s="50"/>
      <c r="R1" s="50"/>
    </row>
    <row r="2" spans="1:18">
      <c r="A2" s="27" t="s">
        <v>646</v>
      </c>
      <c r="B2" s="27" t="s">
        <v>661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1" t="s">
        <v>143</v>
      </c>
    </row>
    <row r="3" spans="1:18">
      <c r="A3" s="46">
        <v>40011017</v>
      </c>
      <c r="B3" s="46" t="s">
        <v>1367</v>
      </c>
      <c r="C3" s="21"/>
      <c r="D3" s="23"/>
      <c r="E3" s="23"/>
      <c r="F3" s="23"/>
      <c r="G3" s="23"/>
      <c r="H3" s="23"/>
      <c r="I3" s="23"/>
      <c r="J3" s="66">
        <v>1</v>
      </c>
      <c r="K3" s="23"/>
      <c r="L3" s="54"/>
      <c r="M3" s="54">
        <v>1</v>
      </c>
      <c r="N3" s="54"/>
      <c r="O3" s="54"/>
      <c r="P3" s="54"/>
      <c r="Q3" s="54"/>
      <c r="R3" s="52">
        <f t="shared" ref="R3:R34" si="0">SUM(C3:O3)</f>
        <v>2</v>
      </c>
    </row>
    <row r="4" spans="1:18">
      <c r="A4" s="77">
        <v>400530014</v>
      </c>
      <c r="B4" s="30" t="s">
        <v>1488</v>
      </c>
      <c r="C4" s="21"/>
      <c r="D4" s="23"/>
      <c r="E4" s="23"/>
      <c r="F4" s="23"/>
      <c r="G4" s="23"/>
      <c r="H4" s="23"/>
      <c r="I4" s="23"/>
      <c r="J4" s="66"/>
      <c r="K4" s="23"/>
      <c r="L4" s="54"/>
      <c r="M4" s="54">
        <v>1</v>
      </c>
      <c r="N4" s="54"/>
      <c r="O4" s="54"/>
      <c r="P4" s="54"/>
      <c r="Q4" s="54"/>
      <c r="R4" s="52">
        <f t="shared" si="0"/>
        <v>1</v>
      </c>
    </row>
    <row r="5" spans="1:18">
      <c r="A5" s="30" t="str">
        <f>"400510001"</f>
        <v>400510001</v>
      </c>
      <c r="B5" s="30" t="s">
        <v>1338</v>
      </c>
      <c r="C5" s="41"/>
      <c r="D5" s="41"/>
      <c r="E5" s="41"/>
      <c r="F5" s="41"/>
      <c r="G5" s="30"/>
      <c r="H5" s="30"/>
      <c r="I5" s="30"/>
      <c r="J5" s="30"/>
      <c r="K5" s="30"/>
      <c r="L5" s="56"/>
      <c r="M5" s="56"/>
      <c r="N5" s="56"/>
      <c r="O5" s="56"/>
      <c r="P5" s="56"/>
      <c r="Q5" s="56"/>
      <c r="R5" s="52">
        <f t="shared" si="0"/>
        <v>0</v>
      </c>
    </row>
    <row r="6" spans="1:18">
      <c r="A6" s="30" t="str">
        <f>"400510004"</f>
        <v>400510004</v>
      </c>
      <c r="B6" s="30" t="s">
        <v>1340</v>
      </c>
      <c r="C6" s="41"/>
      <c r="D6" s="41"/>
      <c r="E6" s="41"/>
      <c r="F6" s="41"/>
      <c r="G6" s="30"/>
      <c r="H6" s="30"/>
      <c r="I6" s="30"/>
      <c r="J6" s="30"/>
      <c r="K6" s="30"/>
      <c r="L6" s="56"/>
      <c r="M6" s="56"/>
      <c r="N6" s="56"/>
      <c r="O6" s="56"/>
      <c r="P6" s="56"/>
      <c r="Q6" s="56"/>
      <c r="R6" s="52">
        <f t="shared" si="0"/>
        <v>0</v>
      </c>
    </row>
    <row r="7" spans="1:18">
      <c r="A7" s="30" t="str">
        <f>"400510005"</f>
        <v>400510005</v>
      </c>
      <c r="B7" s="30" t="s">
        <v>1339</v>
      </c>
      <c r="C7" s="43">
        <v>1</v>
      </c>
      <c r="D7" s="43"/>
      <c r="E7" s="43"/>
      <c r="F7" s="43"/>
      <c r="G7" s="40"/>
      <c r="H7" s="40"/>
      <c r="I7" s="40"/>
      <c r="J7" s="40"/>
      <c r="K7" s="40"/>
      <c r="L7" s="73"/>
      <c r="M7" s="73"/>
      <c r="N7" s="73"/>
      <c r="O7" s="73"/>
      <c r="P7" s="73"/>
      <c r="Q7" s="73"/>
      <c r="R7" s="52">
        <f t="shared" si="0"/>
        <v>1</v>
      </c>
    </row>
    <row r="8" spans="1:18">
      <c r="A8" s="30" t="str">
        <f>"400510006"</f>
        <v>400510006</v>
      </c>
      <c r="B8" s="30" t="s">
        <v>1164</v>
      </c>
      <c r="C8" s="41">
        <v>1</v>
      </c>
      <c r="D8" s="41"/>
      <c r="E8" s="41"/>
      <c r="F8" s="41"/>
      <c r="G8" s="30"/>
      <c r="H8" s="30"/>
      <c r="I8" s="30"/>
      <c r="J8" s="30"/>
      <c r="K8" s="30"/>
      <c r="L8" s="56"/>
      <c r="M8" s="56"/>
      <c r="N8" s="56">
        <v>1</v>
      </c>
      <c r="O8" s="56"/>
      <c r="P8" s="56"/>
      <c r="Q8" s="56"/>
      <c r="R8" s="52">
        <f t="shared" si="0"/>
        <v>2</v>
      </c>
    </row>
    <row r="9" spans="1:18">
      <c r="A9" s="30" t="str">
        <f>"400510007"</f>
        <v>400510007</v>
      </c>
      <c r="B9" s="30" t="s">
        <v>1129</v>
      </c>
      <c r="C9" s="43">
        <v>1</v>
      </c>
      <c r="D9" s="43"/>
      <c r="E9" s="43">
        <v>1</v>
      </c>
      <c r="F9" s="43"/>
      <c r="G9" s="40"/>
      <c r="H9" s="40"/>
      <c r="I9" s="40">
        <v>1</v>
      </c>
      <c r="J9" s="40"/>
      <c r="K9" s="40"/>
      <c r="L9" s="73">
        <v>1</v>
      </c>
      <c r="M9" s="73"/>
      <c r="N9" s="73"/>
      <c r="O9" s="73"/>
      <c r="P9" s="73"/>
      <c r="Q9" s="73"/>
      <c r="R9" s="52">
        <f t="shared" si="0"/>
        <v>4</v>
      </c>
    </row>
    <row r="10" spans="1:18">
      <c r="A10" s="30" t="str">
        <f>"400510008"</f>
        <v>400510008</v>
      </c>
      <c r="B10" s="30" t="s">
        <v>1165</v>
      </c>
      <c r="C10" s="41">
        <v>1</v>
      </c>
      <c r="D10" s="41"/>
      <c r="E10" s="41"/>
      <c r="F10" s="41"/>
      <c r="G10" s="30"/>
      <c r="H10" s="30"/>
      <c r="I10" s="30"/>
      <c r="J10" s="30"/>
      <c r="K10" s="30"/>
      <c r="L10" s="56"/>
      <c r="M10" s="56"/>
      <c r="N10" s="56"/>
      <c r="O10" s="56">
        <v>1</v>
      </c>
      <c r="P10" s="56"/>
      <c r="Q10" s="56"/>
      <c r="R10" s="52">
        <f t="shared" si="0"/>
        <v>2</v>
      </c>
    </row>
    <row r="11" spans="1:18">
      <c r="A11" s="30" t="str">
        <f>"400510009"</f>
        <v>400510009</v>
      </c>
      <c r="B11" s="30" t="s">
        <v>1341</v>
      </c>
      <c r="C11" s="43"/>
      <c r="D11" s="43"/>
      <c r="E11" s="43"/>
      <c r="F11" s="43"/>
      <c r="G11" s="40"/>
      <c r="H11" s="40"/>
      <c r="I11" s="40"/>
      <c r="J11" s="40"/>
      <c r="K11" s="40"/>
      <c r="L11" s="73"/>
      <c r="M11" s="73"/>
      <c r="N11" s="73"/>
      <c r="O11" s="73"/>
      <c r="P11" s="73"/>
      <c r="Q11" s="73"/>
      <c r="R11" s="52">
        <f t="shared" si="0"/>
        <v>0</v>
      </c>
    </row>
    <row r="12" spans="1:18">
      <c r="A12" s="30" t="str">
        <f>"400510010"</f>
        <v>400510010</v>
      </c>
      <c r="B12" s="30" t="s">
        <v>1166</v>
      </c>
      <c r="C12" s="41">
        <v>1</v>
      </c>
      <c r="D12" s="41"/>
      <c r="E12" s="41"/>
      <c r="F12" s="41"/>
      <c r="G12" s="30"/>
      <c r="H12" s="30"/>
      <c r="I12" s="30"/>
      <c r="J12" s="30"/>
      <c r="K12" s="30">
        <v>1</v>
      </c>
      <c r="L12" s="56"/>
      <c r="M12" s="56"/>
      <c r="N12" s="56"/>
      <c r="O12" s="56"/>
      <c r="P12" s="56"/>
      <c r="Q12" s="56"/>
      <c r="R12" s="52">
        <f t="shared" si="0"/>
        <v>2</v>
      </c>
    </row>
    <row r="13" spans="1:18">
      <c r="A13" s="30" t="str">
        <f>"400510011"</f>
        <v>400510011</v>
      </c>
      <c r="B13" s="30" t="s">
        <v>1130</v>
      </c>
      <c r="C13" s="43">
        <v>1</v>
      </c>
      <c r="D13" s="43"/>
      <c r="E13" s="43"/>
      <c r="F13" s="43"/>
      <c r="G13" s="40"/>
      <c r="H13" s="40"/>
      <c r="I13" s="40"/>
      <c r="J13" s="40"/>
      <c r="K13" s="40">
        <v>1</v>
      </c>
      <c r="L13" s="73"/>
      <c r="M13" s="73"/>
      <c r="N13" s="73"/>
      <c r="O13" s="73"/>
      <c r="P13" s="73"/>
      <c r="Q13" s="73"/>
      <c r="R13" s="52">
        <f t="shared" si="0"/>
        <v>2</v>
      </c>
    </row>
    <row r="14" spans="1:18">
      <c r="A14" s="30" t="str">
        <f>"400510012"</f>
        <v>400510012</v>
      </c>
      <c r="B14" s="30" t="s">
        <v>1342</v>
      </c>
      <c r="C14" s="41"/>
      <c r="D14" s="41"/>
      <c r="E14" s="41"/>
      <c r="F14" s="41"/>
      <c r="G14" s="30"/>
      <c r="H14" s="30"/>
      <c r="I14" s="30"/>
      <c r="J14" s="30"/>
      <c r="K14" s="30"/>
      <c r="L14" s="56">
        <v>1</v>
      </c>
      <c r="M14" s="56"/>
      <c r="N14" s="56"/>
      <c r="O14" s="56"/>
      <c r="P14" s="56"/>
      <c r="Q14" s="56"/>
      <c r="R14" s="52">
        <f t="shared" si="0"/>
        <v>1</v>
      </c>
    </row>
    <row r="15" spans="1:18">
      <c r="A15" s="30" t="str">
        <f>"400510013"</f>
        <v>400510013</v>
      </c>
      <c r="B15" s="30" t="s">
        <v>1131</v>
      </c>
      <c r="C15" s="43">
        <v>1</v>
      </c>
      <c r="D15" s="43"/>
      <c r="E15" s="43">
        <v>1</v>
      </c>
      <c r="F15" s="43"/>
      <c r="G15" s="40"/>
      <c r="H15" s="40"/>
      <c r="I15" s="40"/>
      <c r="J15" s="40"/>
      <c r="K15" s="40"/>
      <c r="L15" s="73">
        <v>1</v>
      </c>
      <c r="M15" s="73"/>
      <c r="N15" s="73"/>
      <c r="O15" s="73"/>
      <c r="P15" s="73"/>
      <c r="Q15" s="73"/>
      <c r="R15" s="52">
        <f t="shared" si="0"/>
        <v>3</v>
      </c>
    </row>
    <row r="16" spans="1:18">
      <c r="A16" s="30" t="str">
        <f>"400510014"</f>
        <v>400510014</v>
      </c>
      <c r="B16" s="30" t="s">
        <v>1167</v>
      </c>
      <c r="C16" s="41">
        <v>1</v>
      </c>
      <c r="D16" s="41"/>
      <c r="E16" s="41"/>
      <c r="F16" s="41"/>
      <c r="G16" s="30"/>
      <c r="H16" s="30"/>
      <c r="I16" s="30"/>
      <c r="J16" s="30"/>
      <c r="K16" s="30"/>
      <c r="L16" s="56">
        <v>1</v>
      </c>
      <c r="M16" s="56"/>
      <c r="N16" s="56"/>
      <c r="O16" s="56"/>
      <c r="P16" s="56"/>
      <c r="Q16" s="56"/>
      <c r="R16" s="52">
        <f t="shared" si="0"/>
        <v>2</v>
      </c>
    </row>
    <row r="17" spans="1:18">
      <c r="A17" s="30" t="str">
        <f>"400510015"</f>
        <v>400510015</v>
      </c>
      <c r="B17" s="30" t="s">
        <v>1343</v>
      </c>
      <c r="C17" s="43"/>
      <c r="D17" s="43"/>
      <c r="E17" s="43"/>
      <c r="F17" s="43">
        <v>1</v>
      </c>
      <c r="G17" s="40"/>
      <c r="H17" s="40"/>
      <c r="I17" s="40"/>
      <c r="J17" s="40"/>
      <c r="K17" s="40"/>
      <c r="L17" s="73">
        <v>1</v>
      </c>
      <c r="M17" s="73"/>
      <c r="N17" s="73"/>
      <c r="O17" s="73"/>
      <c r="P17" s="73"/>
      <c r="Q17" s="73"/>
      <c r="R17" s="52">
        <f t="shared" si="0"/>
        <v>2</v>
      </c>
    </row>
    <row r="18" spans="1:18">
      <c r="A18" s="30" t="str">
        <f>"400510016"</f>
        <v>400510016</v>
      </c>
      <c r="B18" s="30" t="s">
        <v>1344</v>
      </c>
      <c r="C18" s="41"/>
      <c r="D18" s="41"/>
      <c r="E18" s="41"/>
      <c r="F18" s="41"/>
      <c r="G18" s="30"/>
      <c r="H18" s="30"/>
      <c r="I18" s="30"/>
      <c r="J18" s="30"/>
      <c r="K18" s="30">
        <v>1</v>
      </c>
      <c r="L18" s="56">
        <v>1</v>
      </c>
      <c r="M18" s="56"/>
      <c r="N18" s="56"/>
      <c r="O18" s="56"/>
      <c r="P18" s="56"/>
      <c r="Q18" s="56"/>
      <c r="R18" s="52">
        <f t="shared" si="0"/>
        <v>2</v>
      </c>
    </row>
    <row r="19" spans="1:18">
      <c r="A19" s="30" t="str">
        <f>"400510017"</f>
        <v>400510017</v>
      </c>
      <c r="B19" s="30" t="s">
        <v>1132</v>
      </c>
      <c r="C19" s="43">
        <v>1</v>
      </c>
      <c r="D19" s="43"/>
      <c r="E19" s="43"/>
      <c r="F19" s="43"/>
      <c r="G19" s="40"/>
      <c r="H19" s="40"/>
      <c r="I19" s="40"/>
      <c r="J19" s="40"/>
      <c r="K19" s="40"/>
      <c r="L19" s="73"/>
      <c r="M19" s="73"/>
      <c r="N19" s="73"/>
      <c r="O19" s="73"/>
      <c r="P19" s="73"/>
      <c r="Q19" s="73"/>
      <c r="R19" s="52">
        <f t="shared" si="0"/>
        <v>1</v>
      </c>
    </row>
    <row r="20" spans="1:18">
      <c r="A20" s="30" t="str">
        <f>"400510018"</f>
        <v>400510018</v>
      </c>
      <c r="B20" s="30" t="s">
        <v>1168</v>
      </c>
      <c r="C20" s="41">
        <v>1</v>
      </c>
      <c r="D20" s="41"/>
      <c r="E20" s="41"/>
      <c r="F20" s="41"/>
      <c r="G20" s="30"/>
      <c r="H20" s="30"/>
      <c r="I20" s="30"/>
      <c r="J20" s="30"/>
      <c r="K20" s="30"/>
      <c r="L20" s="56"/>
      <c r="M20" s="56"/>
      <c r="N20" s="56"/>
      <c r="O20" s="56"/>
      <c r="P20" s="56"/>
      <c r="Q20" s="56"/>
      <c r="R20" s="52">
        <f t="shared" si="0"/>
        <v>1</v>
      </c>
    </row>
    <row r="21" spans="1:18">
      <c r="A21" s="30" t="str">
        <f>"400510019"</f>
        <v>400510019</v>
      </c>
      <c r="B21" s="30" t="s">
        <v>1133</v>
      </c>
      <c r="C21" s="43">
        <v>1</v>
      </c>
      <c r="D21" s="43"/>
      <c r="E21" s="43"/>
      <c r="F21" s="43"/>
      <c r="G21" s="40"/>
      <c r="H21" s="40"/>
      <c r="I21" s="40"/>
      <c r="J21" s="40"/>
      <c r="K21" s="40"/>
      <c r="L21" s="73">
        <v>1</v>
      </c>
      <c r="M21" s="73"/>
      <c r="N21" s="73"/>
      <c r="O21" s="73"/>
      <c r="P21" s="73"/>
      <c r="Q21" s="73"/>
      <c r="R21" s="52">
        <f t="shared" si="0"/>
        <v>2</v>
      </c>
    </row>
    <row r="22" spans="1:18">
      <c r="A22" s="30" t="str">
        <f>"400510020"</f>
        <v>400510020</v>
      </c>
      <c r="B22" s="30" t="s">
        <v>1169</v>
      </c>
      <c r="C22" s="41">
        <v>1</v>
      </c>
      <c r="D22" s="41"/>
      <c r="E22" s="41"/>
      <c r="F22" s="41"/>
      <c r="G22" s="30"/>
      <c r="H22" s="30"/>
      <c r="I22" s="30"/>
      <c r="J22" s="30"/>
      <c r="K22" s="30"/>
      <c r="L22" s="56"/>
      <c r="M22" s="56"/>
      <c r="N22" s="56"/>
      <c r="O22" s="56"/>
      <c r="P22" s="56"/>
      <c r="Q22" s="56"/>
      <c r="R22" s="52">
        <f t="shared" si="0"/>
        <v>1</v>
      </c>
    </row>
    <row r="23" spans="1:18">
      <c r="A23" s="30" t="str">
        <f>"400510021"</f>
        <v>400510021</v>
      </c>
      <c r="B23" s="30" t="s">
        <v>1134</v>
      </c>
      <c r="C23" s="43">
        <v>1</v>
      </c>
      <c r="D23" s="43"/>
      <c r="E23" s="43"/>
      <c r="F23" s="43"/>
      <c r="G23" s="40"/>
      <c r="H23" s="40"/>
      <c r="I23" s="40"/>
      <c r="J23" s="40"/>
      <c r="K23" s="40"/>
      <c r="L23" s="73"/>
      <c r="M23" s="73"/>
      <c r="N23" s="73"/>
      <c r="O23" s="73"/>
      <c r="P23" s="73"/>
      <c r="Q23" s="73"/>
      <c r="R23" s="52">
        <f t="shared" si="0"/>
        <v>1</v>
      </c>
    </row>
    <row r="24" spans="1:18">
      <c r="A24" s="30" t="str">
        <f>"400510022"</f>
        <v>400510022</v>
      </c>
      <c r="B24" s="30" t="s">
        <v>1345</v>
      </c>
      <c r="C24" s="41"/>
      <c r="D24" s="41"/>
      <c r="E24" s="41"/>
      <c r="F24" s="41"/>
      <c r="G24" s="30"/>
      <c r="H24" s="30"/>
      <c r="I24" s="30"/>
      <c r="J24" s="30"/>
      <c r="K24" s="30">
        <v>1</v>
      </c>
      <c r="L24" s="56"/>
      <c r="M24" s="56"/>
      <c r="N24" s="56"/>
      <c r="O24" s="56"/>
      <c r="P24" s="56"/>
      <c r="Q24" s="56"/>
      <c r="R24" s="52">
        <f t="shared" si="0"/>
        <v>1</v>
      </c>
    </row>
    <row r="25" spans="1:18">
      <c r="A25" s="30" t="str">
        <f>"400510023"</f>
        <v>400510023</v>
      </c>
      <c r="B25" s="30" t="s">
        <v>1346</v>
      </c>
      <c r="C25" s="43"/>
      <c r="D25" s="43"/>
      <c r="E25" s="43"/>
      <c r="F25" s="43"/>
      <c r="G25" s="40"/>
      <c r="H25" s="40"/>
      <c r="I25" s="40"/>
      <c r="J25" s="40"/>
      <c r="K25" s="40"/>
      <c r="L25" s="73">
        <v>1</v>
      </c>
      <c r="M25" s="73"/>
      <c r="N25" s="73"/>
      <c r="O25" s="73">
        <v>1</v>
      </c>
      <c r="P25" s="73"/>
      <c r="Q25" s="73"/>
      <c r="R25" s="52">
        <f t="shared" si="0"/>
        <v>2</v>
      </c>
    </row>
    <row r="26" spans="1:18">
      <c r="A26" s="30" t="str">
        <f>"400510024"</f>
        <v>400510024</v>
      </c>
      <c r="B26" s="30" t="s">
        <v>1170</v>
      </c>
      <c r="C26" s="41">
        <v>1</v>
      </c>
      <c r="D26" s="41"/>
      <c r="E26" s="41">
        <v>1</v>
      </c>
      <c r="F26" s="41"/>
      <c r="G26" s="30"/>
      <c r="H26" s="30"/>
      <c r="I26" s="30"/>
      <c r="J26" s="30"/>
      <c r="K26" s="30"/>
      <c r="L26" s="56">
        <v>1</v>
      </c>
      <c r="M26" s="56"/>
      <c r="N26" s="56"/>
      <c r="O26" s="56"/>
      <c r="P26" s="56"/>
      <c r="Q26" s="56"/>
      <c r="R26" s="52">
        <f t="shared" si="0"/>
        <v>3</v>
      </c>
    </row>
    <row r="27" spans="1:18">
      <c r="A27" s="30" t="str">
        <f>"400510025"</f>
        <v>400510025</v>
      </c>
      <c r="B27" s="30" t="s">
        <v>1135</v>
      </c>
      <c r="C27" s="43">
        <v>1</v>
      </c>
      <c r="D27" s="43"/>
      <c r="E27" s="43"/>
      <c r="F27" s="43"/>
      <c r="G27" s="40"/>
      <c r="H27" s="40"/>
      <c r="I27" s="40"/>
      <c r="J27" s="40"/>
      <c r="K27" s="40">
        <v>1</v>
      </c>
      <c r="L27" s="73">
        <v>1</v>
      </c>
      <c r="M27" s="73"/>
      <c r="N27" s="73">
        <v>1</v>
      </c>
      <c r="O27" s="73"/>
      <c r="P27" s="73"/>
      <c r="Q27" s="73"/>
      <c r="R27" s="52">
        <f t="shared" si="0"/>
        <v>4</v>
      </c>
    </row>
    <row r="28" spans="1:18">
      <c r="A28" s="30" t="str">
        <f>"400510026"</f>
        <v>400510026</v>
      </c>
      <c r="B28" s="30" t="s">
        <v>1171</v>
      </c>
      <c r="C28" s="41">
        <v>1</v>
      </c>
      <c r="D28" s="41"/>
      <c r="E28" s="41"/>
      <c r="F28" s="41"/>
      <c r="G28" s="30">
        <v>1</v>
      </c>
      <c r="H28" s="30"/>
      <c r="I28" s="30"/>
      <c r="J28" s="30"/>
      <c r="K28" s="30"/>
      <c r="L28" s="56"/>
      <c r="M28" s="56"/>
      <c r="N28" s="56"/>
      <c r="O28" s="56"/>
      <c r="P28" s="56"/>
      <c r="Q28" s="56"/>
      <c r="R28" s="52">
        <f t="shared" si="0"/>
        <v>2</v>
      </c>
    </row>
    <row r="29" spans="1:18">
      <c r="A29" s="30" t="str">
        <f>"400510027"</f>
        <v>400510027</v>
      </c>
      <c r="B29" s="30" t="s">
        <v>1347</v>
      </c>
      <c r="C29" s="43"/>
      <c r="D29" s="43"/>
      <c r="E29" s="43"/>
      <c r="F29" s="43"/>
      <c r="G29" s="40"/>
      <c r="H29" s="40"/>
      <c r="I29" s="40"/>
      <c r="J29" s="40"/>
      <c r="K29" s="40"/>
      <c r="L29" s="73">
        <v>1</v>
      </c>
      <c r="M29" s="73"/>
      <c r="N29" s="73"/>
      <c r="O29" s="73"/>
      <c r="P29" s="73"/>
      <c r="Q29" s="73"/>
      <c r="R29" s="52">
        <f t="shared" si="0"/>
        <v>1</v>
      </c>
    </row>
    <row r="30" spans="1:18">
      <c r="A30" s="30" t="str">
        <f>"400510028"</f>
        <v>400510028</v>
      </c>
      <c r="B30" s="30" t="s">
        <v>1348</v>
      </c>
      <c r="C30" s="41"/>
      <c r="D30" s="41"/>
      <c r="E30" s="41">
        <v>1</v>
      </c>
      <c r="F30" s="41">
        <v>1</v>
      </c>
      <c r="G30" s="30"/>
      <c r="H30" s="30"/>
      <c r="I30" s="30"/>
      <c r="J30" s="30"/>
      <c r="K30" s="30"/>
      <c r="L30" s="56">
        <v>1</v>
      </c>
      <c r="M30" s="56"/>
      <c r="N30" s="56"/>
      <c r="O30" s="56"/>
      <c r="P30" s="56"/>
      <c r="Q30" s="56"/>
      <c r="R30" s="52">
        <f t="shared" si="0"/>
        <v>3</v>
      </c>
    </row>
    <row r="31" spans="1:18">
      <c r="A31" s="30" t="str">
        <f>"400510029"</f>
        <v>400510029</v>
      </c>
      <c r="B31" s="30" t="s">
        <v>1136</v>
      </c>
      <c r="C31" s="43">
        <v>1</v>
      </c>
      <c r="D31" s="43"/>
      <c r="E31" s="43">
        <v>1</v>
      </c>
      <c r="F31" s="43"/>
      <c r="G31" s="40"/>
      <c r="H31" s="40"/>
      <c r="I31" s="40"/>
      <c r="J31" s="40"/>
      <c r="K31" s="40"/>
      <c r="L31" s="73">
        <v>1</v>
      </c>
      <c r="M31" s="73"/>
      <c r="N31" s="73">
        <v>1</v>
      </c>
      <c r="O31" s="73"/>
      <c r="P31" s="73"/>
      <c r="Q31" s="73"/>
      <c r="R31" s="52">
        <f t="shared" si="0"/>
        <v>4</v>
      </c>
    </row>
    <row r="32" spans="1:18">
      <c r="A32" s="30" t="str">
        <f>"400510030"</f>
        <v>400510030</v>
      </c>
      <c r="B32" s="30" t="s">
        <v>1172</v>
      </c>
      <c r="C32" s="41">
        <v>1</v>
      </c>
      <c r="D32" s="41"/>
      <c r="E32" s="41"/>
      <c r="F32" s="41"/>
      <c r="G32" s="30"/>
      <c r="H32" s="30"/>
      <c r="I32" s="30"/>
      <c r="J32" s="30"/>
      <c r="K32" s="30"/>
      <c r="L32" s="56">
        <v>1</v>
      </c>
      <c r="M32" s="56"/>
      <c r="N32" s="56"/>
      <c r="O32" s="56"/>
      <c r="P32" s="56"/>
      <c r="Q32" s="56"/>
      <c r="R32" s="52">
        <f t="shared" si="0"/>
        <v>2</v>
      </c>
    </row>
    <row r="33" spans="1:18">
      <c r="A33" s="30" t="str">
        <f>"400510031"</f>
        <v>400510031</v>
      </c>
      <c r="B33" s="30" t="s">
        <v>1137</v>
      </c>
      <c r="C33" s="41">
        <v>1</v>
      </c>
      <c r="D33" s="41"/>
      <c r="E33" s="41"/>
      <c r="F33" s="41"/>
      <c r="G33" s="30"/>
      <c r="H33" s="30"/>
      <c r="I33" s="30"/>
      <c r="J33" s="30"/>
      <c r="K33" s="30"/>
      <c r="L33" s="56">
        <v>1</v>
      </c>
      <c r="M33" s="56"/>
      <c r="N33" s="56">
        <v>1</v>
      </c>
      <c r="O33" s="56"/>
      <c r="P33" s="56"/>
      <c r="Q33" s="56"/>
      <c r="R33" s="52">
        <f t="shared" si="0"/>
        <v>3</v>
      </c>
    </row>
    <row r="34" spans="1:18">
      <c r="A34" s="30" t="str">
        <f>"400510032"</f>
        <v>400510032</v>
      </c>
      <c r="B34" s="30" t="s">
        <v>1349</v>
      </c>
      <c r="C34" s="41"/>
      <c r="D34" s="41"/>
      <c r="E34" s="41"/>
      <c r="F34" s="41"/>
      <c r="G34" s="30"/>
      <c r="H34" s="30"/>
      <c r="I34" s="30"/>
      <c r="J34" s="30"/>
      <c r="K34" s="30"/>
      <c r="L34" s="56"/>
      <c r="M34" s="56"/>
      <c r="N34" s="56"/>
      <c r="O34" s="56"/>
      <c r="P34" s="56"/>
      <c r="Q34" s="56">
        <v>1</v>
      </c>
      <c r="R34" s="52">
        <f t="shared" si="0"/>
        <v>0</v>
      </c>
    </row>
    <row r="35" spans="1:18">
      <c r="A35" s="30" t="str">
        <f>"400510033"</f>
        <v>400510033</v>
      </c>
      <c r="B35" s="30" t="s">
        <v>1138</v>
      </c>
      <c r="C35" s="41">
        <v>1</v>
      </c>
      <c r="D35" s="41"/>
      <c r="E35" s="41"/>
      <c r="F35" s="41">
        <v>1</v>
      </c>
      <c r="G35" s="30"/>
      <c r="H35" s="30"/>
      <c r="I35" s="30"/>
      <c r="J35" s="30"/>
      <c r="K35" s="30"/>
      <c r="L35" s="56">
        <v>1</v>
      </c>
      <c r="M35" s="56"/>
      <c r="N35" s="56">
        <v>1</v>
      </c>
      <c r="O35" s="56"/>
      <c r="P35" s="56"/>
      <c r="Q35" s="56"/>
      <c r="R35" s="52">
        <f t="shared" ref="R35:R67" si="1">SUM(C35:O35)</f>
        <v>4</v>
      </c>
    </row>
    <row r="36" spans="1:18">
      <c r="A36" s="30" t="str">
        <f>"400510035"</f>
        <v>400510035</v>
      </c>
      <c r="B36" s="30" t="s">
        <v>1139</v>
      </c>
      <c r="C36" s="41">
        <v>1</v>
      </c>
      <c r="D36" s="41"/>
      <c r="E36" s="41"/>
      <c r="F36" s="41"/>
      <c r="G36" s="30"/>
      <c r="H36" s="30"/>
      <c r="I36" s="30"/>
      <c r="J36" s="30"/>
      <c r="K36" s="30"/>
      <c r="L36" s="56"/>
      <c r="M36" s="56"/>
      <c r="N36" s="56"/>
      <c r="O36" s="56"/>
      <c r="P36" s="56"/>
      <c r="Q36" s="56"/>
      <c r="R36" s="52">
        <f t="shared" si="1"/>
        <v>1</v>
      </c>
    </row>
    <row r="37" spans="1:18">
      <c r="A37" s="30" t="str">
        <f>"400510036"</f>
        <v>400510036</v>
      </c>
      <c r="B37" s="30" t="s">
        <v>1350</v>
      </c>
      <c r="C37" s="41"/>
      <c r="D37" s="41"/>
      <c r="E37" s="41"/>
      <c r="F37" s="41"/>
      <c r="G37" s="30"/>
      <c r="H37" s="30"/>
      <c r="I37" s="30"/>
      <c r="J37" s="30"/>
      <c r="K37" s="30"/>
      <c r="L37" s="56"/>
      <c r="M37" s="56"/>
      <c r="N37" s="56"/>
      <c r="O37" s="56"/>
      <c r="P37" s="56"/>
      <c r="Q37" s="56"/>
      <c r="R37" s="52">
        <f t="shared" si="1"/>
        <v>0</v>
      </c>
    </row>
    <row r="38" spans="1:18">
      <c r="A38" s="30" t="str">
        <f>"400510037"</f>
        <v>400510037</v>
      </c>
      <c r="B38" s="30" t="s">
        <v>1140</v>
      </c>
      <c r="C38" s="41">
        <v>1</v>
      </c>
      <c r="D38" s="41"/>
      <c r="E38" s="41"/>
      <c r="F38" s="41"/>
      <c r="G38" s="30"/>
      <c r="H38" s="30"/>
      <c r="I38" s="30"/>
      <c r="J38" s="30"/>
      <c r="K38" s="30"/>
      <c r="L38" s="56"/>
      <c r="M38" s="56"/>
      <c r="N38" s="56"/>
      <c r="O38" s="56"/>
      <c r="P38" s="56"/>
      <c r="Q38" s="56"/>
      <c r="R38" s="52">
        <f t="shared" si="1"/>
        <v>1</v>
      </c>
    </row>
    <row r="39" spans="1:18">
      <c r="A39" s="30" t="str">
        <f>"400510038"</f>
        <v>400510038</v>
      </c>
      <c r="B39" s="30" t="s">
        <v>1173</v>
      </c>
      <c r="C39" s="41">
        <v>1</v>
      </c>
      <c r="D39" s="41"/>
      <c r="E39" s="41"/>
      <c r="F39" s="41">
        <v>1</v>
      </c>
      <c r="G39" s="30"/>
      <c r="H39" s="30"/>
      <c r="I39" s="30"/>
      <c r="J39" s="30"/>
      <c r="K39" s="30"/>
      <c r="L39" s="56"/>
      <c r="M39" s="56"/>
      <c r="N39" s="56"/>
      <c r="O39" s="56"/>
      <c r="P39" s="56"/>
      <c r="Q39" s="56"/>
      <c r="R39" s="52">
        <f t="shared" si="1"/>
        <v>2</v>
      </c>
    </row>
    <row r="40" spans="1:18">
      <c r="A40" s="30" t="str">
        <f>"400510039"</f>
        <v>400510039</v>
      </c>
      <c r="B40" s="30" t="s">
        <v>1351</v>
      </c>
      <c r="C40" s="41"/>
      <c r="D40" s="41"/>
      <c r="E40" s="41"/>
      <c r="F40" s="41"/>
      <c r="G40" s="30"/>
      <c r="H40" s="30"/>
      <c r="I40" s="30"/>
      <c r="J40" s="30"/>
      <c r="K40" s="30"/>
      <c r="L40" s="56"/>
      <c r="M40" s="56"/>
      <c r="N40" s="56"/>
      <c r="O40" s="56"/>
      <c r="P40" s="56"/>
      <c r="Q40" s="56"/>
      <c r="R40" s="52">
        <f t="shared" si="1"/>
        <v>0</v>
      </c>
    </row>
    <row r="41" spans="1:18">
      <c r="A41" s="30" t="str">
        <f>"400510040"</f>
        <v>400510040</v>
      </c>
      <c r="B41" s="30" t="s">
        <v>1174</v>
      </c>
      <c r="C41" s="41">
        <v>1</v>
      </c>
      <c r="D41" s="41"/>
      <c r="E41" s="41"/>
      <c r="F41" s="41"/>
      <c r="G41" s="30"/>
      <c r="H41" s="30" t="s">
        <v>1123</v>
      </c>
      <c r="I41" s="30"/>
      <c r="J41" s="30"/>
      <c r="K41" s="30"/>
      <c r="L41" s="56"/>
      <c r="M41" s="56"/>
      <c r="N41" s="56"/>
      <c r="O41" s="56"/>
      <c r="P41" s="56"/>
      <c r="Q41" s="56"/>
      <c r="R41" s="52">
        <f t="shared" si="1"/>
        <v>1</v>
      </c>
    </row>
    <row r="42" spans="1:18">
      <c r="A42" s="30" t="str">
        <f>"400510042"</f>
        <v>400510042</v>
      </c>
      <c r="B42" s="30" t="s">
        <v>1175</v>
      </c>
      <c r="C42" s="41">
        <v>1</v>
      </c>
      <c r="D42" s="41"/>
      <c r="E42" s="41"/>
      <c r="F42" s="41"/>
      <c r="G42" s="30"/>
      <c r="H42" s="30"/>
      <c r="I42" s="30"/>
      <c r="J42" s="30"/>
      <c r="K42" s="30"/>
      <c r="L42" s="56"/>
      <c r="M42" s="56"/>
      <c r="N42" s="56"/>
      <c r="O42" s="56"/>
      <c r="P42" s="56"/>
      <c r="Q42" s="56"/>
      <c r="R42" s="52">
        <f t="shared" si="1"/>
        <v>1</v>
      </c>
    </row>
    <row r="43" spans="1:18">
      <c r="A43" s="30" t="str">
        <f>"400510043"</f>
        <v>400510043</v>
      </c>
      <c r="B43" s="30" t="s">
        <v>1141</v>
      </c>
      <c r="C43" s="41">
        <v>1</v>
      </c>
      <c r="D43" s="41"/>
      <c r="E43" s="41">
        <v>1</v>
      </c>
      <c r="F43" s="41">
        <v>1</v>
      </c>
      <c r="G43" s="30"/>
      <c r="H43" s="30"/>
      <c r="I43" s="30"/>
      <c r="J43" s="30"/>
      <c r="K43" s="30"/>
      <c r="L43" s="56">
        <v>1</v>
      </c>
      <c r="M43" s="56"/>
      <c r="N43" s="56"/>
      <c r="O43" s="56">
        <v>1</v>
      </c>
      <c r="P43" s="56"/>
      <c r="Q43" s="56"/>
      <c r="R43" s="52">
        <f t="shared" si="1"/>
        <v>5</v>
      </c>
    </row>
    <row r="44" spans="1:18">
      <c r="A44" s="30" t="str">
        <f>"400510044"</f>
        <v>400510044</v>
      </c>
      <c r="B44" s="30" t="s">
        <v>1176</v>
      </c>
      <c r="C44" s="41">
        <v>1</v>
      </c>
      <c r="D44" s="41"/>
      <c r="E44" s="41"/>
      <c r="F44" s="41"/>
      <c r="G44" s="30"/>
      <c r="H44" s="30"/>
      <c r="I44" s="30"/>
      <c r="J44" s="30"/>
      <c r="K44" s="30">
        <v>1</v>
      </c>
      <c r="L44" s="56"/>
      <c r="M44" s="56"/>
      <c r="N44" s="56"/>
      <c r="O44" s="56"/>
      <c r="P44" s="56"/>
      <c r="Q44" s="56"/>
      <c r="R44" s="52">
        <f t="shared" si="1"/>
        <v>2</v>
      </c>
    </row>
    <row r="45" spans="1:18">
      <c r="A45" s="30" t="str">
        <f>"400510045"</f>
        <v>400510045</v>
      </c>
      <c r="B45" s="30" t="s">
        <v>1142</v>
      </c>
      <c r="C45" s="41">
        <v>1</v>
      </c>
      <c r="D45" s="41"/>
      <c r="E45" s="41"/>
      <c r="F45" s="41"/>
      <c r="G45" s="30"/>
      <c r="H45" s="30"/>
      <c r="I45" s="30"/>
      <c r="J45" s="30"/>
      <c r="K45" s="30"/>
      <c r="L45" s="56"/>
      <c r="M45" s="56"/>
      <c r="N45" s="56"/>
      <c r="O45" s="56">
        <v>1</v>
      </c>
      <c r="P45" s="56"/>
      <c r="Q45" s="56"/>
      <c r="R45" s="52">
        <f t="shared" si="1"/>
        <v>2</v>
      </c>
    </row>
    <row r="46" spans="1:18">
      <c r="A46" s="30" t="str">
        <f>"400510046"</f>
        <v>400510046</v>
      </c>
      <c r="B46" s="30" t="s">
        <v>1352</v>
      </c>
      <c r="C46" s="41"/>
      <c r="D46" s="41"/>
      <c r="E46" s="41"/>
      <c r="F46" s="41"/>
      <c r="G46" s="30"/>
      <c r="H46" s="30"/>
      <c r="I46" s="30"/>
      <c r="J46" s="30"/>
      <c r="K46" s="30"/>
      <c r="L46" s="56">
        <v>1</v>
      </c>
      <c r="M46" s="56"/>
      <c r="N46" s="56"/>
      <c r="O46" s="56"/>
      <c r="P46" s="56"/>
      <c r="Q46" s="56"/>
      <c r="R46" s="52">
        <f t="shared" si="1"/>
        <v>1</v>
      </c>
    </row>
    <row r="47" spans="1:18">
      <c r="A47" s="30" t="str">
        <f>"400510048"</f>
        <v>400510048</v>
      </c>
      <c r="B47" s="30" t="s">
        <v>1177</v>
      </c>
      <c r="C47" s="41">
        <v>1</v>
      </c>
      <c r="D47" s="41"/>
      <c r="E47" s="41"/>
      <c r="F47" s="41">
        <v>1</v>
      </c>
      <c r="G47" s="30"/>
      <c r="H47" s="30">
        <v>1</v>
      </c>
      <c r="I47" s="30"/>
      <c r="J47" s="30"/>
      <c r="K47" s="30"/>
      <c r="L47" s="56"/>
      <c r="M47" s="56"/>
      <c r="N47" s="56"/>
      <c r="O47" s="56"/>
      <c r="P47" s="56"/>
      <c r="Q47" s="56"/>
      <c r="R47" s="52">
        <f t="shared" si="1"/>
        <v>3</v>
      </c>
    </row>
    <row r="48" spans="1:18">
      <c r="A48" s="30" t="str">
        <f>"400510049"</f>
        <v>400510049</v>
      </c>
      <c r="B48" s="30" t="s">
        <v>1143</v>
      </c>
      <c r="C48" s="41">
        <v>1</v>
      </c>
      <c r="D48" s="41"/>
      <c r="E48" s="41"/>
      <c r="F48" s="41"/>
      <c r="G48" s="30"/>
      <c r="H48" s="30"/>
      <c r="I48" s="30"/>
      <c r="J48" s="30"/>
      <c r="K48" s="30"/>
      <c r="L48" s="56">
        <v>1</v>
      </c>
      <c r="M48" s="56"/>
      <c r="N48" s="56"/>
      <c r="O48" s="56"/>
      <c r="P48" s="56"/>
      <c r="Q48" s="56"/>
      <c r="R48" s="52">
        <f t="shared" si="1"/>
        <v>2</v>
      </c>
    </row>
    <row r="49" spans="1:18">
      <c r="A49" s="30" t="str">
        <f>"400510050"</f>
        <v>400510050</v>
      </c>
      <c r="B49" s="30" t="s">
        <v>1178</v>
      </c>
      <c r="C49" s="41">
        <v>1</v>
      </c>
      <c r="D49" s="41"/>
      <c r="E49" s="41"/>
      <c r="F49" s="41"/>
      <c r="G49" s="30"/>
      <c r="H49" s="30"/>
      <c r="I49" s="30"/>
      <c r="J49" s="30"/>
      <c r="K49" s="30"/>
      <c r="L49" s="56"/>
      <c r="M49" s="56"/>
      <c r="N49" s="56"/>
      <c r="O49" s="56"/>
      <c r="P49" s="56"/>
      <c r="Q49" s="56"/>
      <c r="R49" s="52">
        <f t="shared" si="1"/>
        <v>1</v>
      </c>
    </row>
    <row r="50" spans="1:18">
      <c r="A50" s="30" t="str">
        <f>"400510051"</f>
        <v>400510051</v>
      </c>
      <c r="B50" s="30" t="s">
        <v>1144</v>
      </c>
      <c r="C50" s="41">
        <v>1</v>
      </c>
      <c r="D50" s="41"/>
      <c r="E50" s="41">
        <v>1</v>
      </c>
      <c r="F50" s="41">
        <v>1</v>
      </c>
      <c r="G50" s="30"/>
      <c r="H50" s="30"/>
      <c r="I50" s="30"/>
      <c r="J50" s="30"/>
      <c r="K50" s="30"/>
      <c r="L50" s="56"/>
      <c r="M50" s="56"/>
      <c r="N50" s="56"/>
      <c r="O50" s="56"/>
      <c r="P50" s="56"/>
      <c r="Q50" s="56"/>
      <c r="R50" s="52">
        <f t="shared" si="1"/>
        <v>3</v>
      </c>
    </row>
    <row r="51" spans="1:18">
      <c r="A51" s="30" t="str">
        <f>"400510052"</f>
        <v>400510052</v>
      </c>
      <c r="B51" s="30" t="s">
        <v>1179</v>
      </c>
      <c r="C51" s="41">
        <v>1</v>
      </c>
      <c r="D51" s="41"/>
      <c r="E51" s="41"/>
      <c r="F51" s="41"/>
      <c r="G51" s="30"/>
      <c r="H51" s="30"/>
      <c r="I51" s="30"/>
      <c r="J51" s="30"/>
      <c r="K51" s="30"/>
      <c r="L51" s="56"/>
      <c r="M51" s="56"/>
      <c r="N51" s="56"/>
      <c r="O51" s="56">
        <v>1</v>
      </c>
      <c r="P51" s="56"/>
      <c r="Q51" s="56"/>
      <c r="R51" s="52">
        <f t="shared" si="1"/>
        <v>2</v>
      </c>
    </row>
    <row r="52" spans="1:18">
      <c r="A52" s="30" t="str">
        <f>"400510053"</f>
        <v>400510053</v>
      </c>
      <c r="B52" s="30" t="s">
        <v>1145</v>
      </c>
      <c r="C52" s="41">
        <v>1</v>
      </c>
      <c r="D52" s="41"/>
      <c r="E52" s="41"/>
      <c r="F52" s="41"/>
      <c r="G52" s="30"/>
      <c r="H52" s="30"/>
      <c r="I52" s="30"/>
      <c r="J52" s="30"/>
      <c r="K52" s="30"/>
      <c r="L52" s="56">
        <v>1</v>
      </c>
      <c r="M52" s="56"/>
      <c r="N52" s="56"/>
      <c r="O52" s="56"/>
      <c r="P52" s="56"/>
      <c r="Q52" s="56"/>
      <c r="R52" s="52">
        <f t="shared" si="1"/>
        <v>2</v>
      </c>
    </row>
    <row r="53" spans="1:18">
      <c r="A53" s="30" t="str">
        <f>"400510054"</f>
        <v>400510054</v>
      </c>
      <c r="B53" s="30" t="s">
        <v>1180</v>
      </c>
      <c r="C53" s="41">
        <v>1</v>
      </c>
      <c r="D53" s="41"/>
      <c r="E53" s="41"/>
      <c r="F53" s="41"/>
      <c r="G53" s="30"/>
      <c r="H53" s="30"/>
      <c r="I53" s="30"/>
      <c r="J53" s="30"/>
      <c r="K53" s="30"/>
      <c r="L53" s="56"/>
      <c r="M53" s="56"/>
      <c r="N53" s="56"/>
      <c r="O53" s="56"/>
      <c r="P53" s="56"/>
      <c r="Q53" s="56"/>
      <c r="R53" s="52">
        <f t="shared" si="1"/>
        <v>1</v>
      </c>
    </row>
    <row r="54" spans="1:18">
      <c r="A54" s="30" t="str">
        <f>"400510055"</f>
        <v>400510055</v>
      </c>
      <c r="B54" s="30" t="s">
        <v>1353</v>
      </c>
      <c r="C54" s="41"/>
      <c r="D54" s="41"/>
      <c r="E54" s="41"/>
      <c r="F54" s="41"/>
      <c r="G54" s="30"/>
      <c r="H54" s="30"/>
      <c r="I54" s="30"/>
      <c r="J54" s="30"/>
      <c r="K54" s="30"/>
      <c r="L54" s="56"/>
      <c r="M54" s="56"/>
      <c r="N54" s="56"/>
      <c r="O54" s="56"/>
      <c r="P54" s="56"/>
      <c r="Q54" s="56"/>
      <c r="R54" s="52">
        <f t="shared" si="1"/>
        <v>0</v>
      </c>
    </row>
    <row r="55" spans="1:18">
      <c r="A55" s="30" t="str">
        <f>"400510056"</f>
        <v>400510056</v>
      </c>
      <c r="B55" s="30" t="s">
        <v>1181</v>
      </c>
      <c r="C55" s="41">
        <v>1</v>
      </c>
      <c r="D55" s="41"/>
      <c r="E55" s="41"/>
      <c r="F55" s="41"/>
      <c r="G55" s="30"/>
      <c r="H55" s="30"/>
      <c r="I55" s="30"/>
      <c r="J55" s="30"/>
      <c r="K55" s="30"/>
      <c r="L55" s="56">
        <v>1</v>
      </c>
      <c r="M55" s="56"/>
      <c r="N55" s="56"/>
      <c r="O55" s="56"/>
      <c r="P55" s="56"/>
      <c r="Q55" s="56"/>
      <c r="R55" s="52">
        <f t="shared" si="1"/>
        <v>2</v>
      </c>
    </row>
    <row r="56" spans="1:18">
      <c r="A56" s="30" t="str">
        <f>"400510057"</f>
        <v>400510057</v>
      </c>
      <c r="B56" s="30" t="s">
        <v>1146</v>
      </c>
      <c r="C56" s="41">
        <v>1</v>
      </c>
      <c r="D56" s="41"/>
      <c r="E56" s="41">
        <v>1</v>
      </c>
      <c r="F56" s="41">
        <v>1</v>
      </c>
      <c r="G56" s="30"/>
      <c r="H56" s="30"/>
      <c r="I56" s="30"/>
      <c r="J56" s="30"/>
      <c r="K56" s="30"/>
      <c r="L56" s="56">
        <v>1</v>
      </c>
      <c r="M56" s="56"/>
      <c r="N56" s="56"/>
      <c r="O56" s="56">
        <v>1</v>
      </c>
      <c r="P56" s="56"/>
      <c r="Q56" s="56"/>
      <c r="R56" s="52">
        <f t="shared" si="1"/>
        <v>5</v>
      </c>
    </row>
    <row r="57" spans="1:18">
      <c r="A57" s="30" t="str">
        <f>"400510058"</f>
        <v>400510058</v>
      </c>
      <c r="B57" s="30" t="s">
        <v>1182</v>
      </c>
      <c r="C57" s="41">
        <v>1</v>
      </c>
      <c r="D57" s="41">
        <v>1</v>
      </c>
      <c r="E57" s="41">
        <v>1</v>
      </c>
      <c r="F57" s="41"/>
      <c r="G57" s="30"/>
      <c r="H57" s="30"/>
      <c r="I57" s="30"/>
      <c r="J57" s="30"/>
      <c r="K57" s="30"/>
      <c r="L57" s="56"/>
      <c r="M57" s="56"/>
      <c r="N57" s="56"/>
      <c r="O57" s="56"/>
      <c r="P57" s="56"/>
      <c r="Q57" s="56"/>
      <c r="R57" s="52">
        <f t="shared" si="1"/>
        <v>3</v>
      </c>
    </row>
    <row r="58" spans="1:18">
      <c r="A58" s="30" t="str">
        <f>"400510059"</f>
        <v>400510059</v>
      </c>
      <c r="B58" s="30" t="s">
        <v>1354</v>
      </c>
      <c r="C58" s="41"/>
      <c r="D58" s="41"/>
      <c r="E58" s="41"/>
      <c r="F58" s="41"/>
      <c r="G58" s="30"/>
      <c r="H58" s="30"/>
      <c r="I58" s="30"/>
      <c r="J58" s="30"/>
      <c r="K58" s="30"/>
      <c r="L58" s="56"/>
      <c r="M58" s="56"/>
      <c r="N58" s="56"/>
      <c r="O58" s="56"/>
      <c r="P58" s="56"/>
      <c r="Q58" s="56"/>
      <c r="R58" s="52">
        <f t="shared" si="1"/>
        <v>0</v>
      </c>
    </row>
    <row r="59" spans="1:18">
      <c r="A59" s="30" t="str">
        <f>"400510060"</f>
        <v>400510060</v>
      </c>
      <c r="B59" s="30" t="s">
        <v>1183</v>
      </c>
      <c r="C59" s="41">
        <v>1</v>
      </c>
      <c r="D59" s="41"/>
      <c r="E59" s="41">
        <v>1</v>
      </c>
      <c r="F59" s="41"/>
      <c r="G59" s="30"/>
      <c r="H59" s="30"/>
      <c r="I59" s="30"/>
      <c r="J59" s="30"/>
      <c r="K59" s="30"/>
      <c r="L59" s="56"/>
      <c r="M59" s="56"/>
      <c r="N59" s="56"/>
      <c r="O59" s="56"/>
      <c r="P59" s="56"/>
      <c r="Q59" s="56"/>
      <c r="R59" s="52">
        <f t="shared" si="1"/>
        <v>2</v>
      </c>
    </row>
    <row r="60" spans="1:18">
      <c r="A60" s="30" t="str">
        <f>"400510061"</f>
        <v>400510061</v>
      </c>
      <c r="B60" s="30" t="s">
        <v>1147</v>
      </c>
      <c r="C60" s="41">
        <v>1</v>
      </c>
      <c r="D60" s="41"/>
      <c r="E60" s="41"/>
      <c r="F60" s="41"/>
      <c r="G60" s="30"/>
      <c r="H60" s="30"/>
      <c r="I60" s="30"/>
      <c r="J60" s="30"/>
      <c r="K60" s="30"/>
      <c r="L60" s="56">
        <v>1</v>
      </c>
      <c r="M60" s="56"/>
      <c r="N60" s="56"/>
      <c r="O60" s="56">
        <v>1</v>
      </c>
      <c r="P60" s="56"/>
      <c r="Q60" s="56"/>
      <c r="R60" s="52">
        <f t="shared" si="1"/>
        <v>3</v>
      </c>
    </row>
    <row r="61" spans="1:18">
      <c r="A61" s="30" t="str">
        <f>"400510062"</f>
        <v>400510062</v>
      </c>
      <c r="B61" s="30" t="s">
        <v>1184</v>
      </c>
      <c r="C61" s="41">
        <v>1</v>
      </c>
      <c r="D61" s="41"/>
      <c r="E61" s="41">
        <v>1</v>
      </c>
      <c r="F61" s="41"/>
      <c r="G61" s="30"/>
      <c r="H61" s="30"/>
      <c r="I61" s="30"/>
      <c r="J61" s="30"/>
      <c r="K61" s="30"/>
      <c r="L61" s="56"/>
      <c r="M61" s="56"/>
      <c r="N61" s="56"/>
      <c r="O61" s="56"/>
      <c r="P61" s="56"/>
      <c r="Q61" s="56"/>
      <c r="R61" s="52">
        <f t="shared" si="1"/>
        <v>2</v>
      </c>
    </row>
    <row r="62" spans="1:18">
      <c r="A62" s="30" t="str">
        <f>"400510063"</f>
        <v>400510063</v>
      </c>
      <c r="B62" s="30" t="s">
        <v>1355</v>
      </c>
      <c r="C62" s="41"/>
      <c r="D62" s="41"/>
      <c r="E62" s="41"/>
      <c r="F62" s="41"/>
      <c r="G62" s="30"/>
      <c r="H62" s="30"/>
      <c r="I62" s="30"/>
      <c r="J62" s="30"/>
      <c r="K62" s="30"/>
      <c r="L62" s="56"/>
      <c r="M62" s="56"/>
      <c r="N62" s="56"/>
      <c r="O62" s="56"/>
      <c r="P62" s="56"/>
      <c r="Q62" s="56"/>
      <c r="R62" s="52">
        <f t="shared" si="1"/>
        <v>0</v>
      </c>
    </row>
    <row r="63" spans="1:18">
      <c r="A63" s="30" t="str">
        <f>"400510064"</f>
        <v>400510064</v>
      </c>
      <c r="B63" s="30" t="s">
        <v>1185</v>
      </c>
      <c r="C63" s="41">
        <v>1</v>
      </c>
      <c r="D63" s="41"/>
      <c r="E63" s="41"/>
      <c r="F63" s="41">
        <v>1</v>
      </c>
      <c r="G63" s="30"/>
      <c r="H63" s="30">
        <v>1</v>
      </c>
      <c r="I63" s="30"/>
      <c r="J63" s="30"/>
      <c r="K63" s="30"/>
      <c r="L63" s="56">
        <v>1</v>
      </c>
      <c r="M63" s="56">
        <v>1</v>
      </c>
      <c r="N63" s="56">
        <v>1</v>
      </c>
      <c r="O63" s="56"/>
      <c r="P63" s="56"/>
      <c r="Q63" s="56"/>
      <c r="R63" s="52">
        <f t="shared" si="1"/>
        <v>6</v>
      </c>
    </row>
    <row r="64" spans="1:18">
      <c r="A64" s="30" t="str">
        <f>"400510066"</f>
        <v>400510066</v>
      </c>
      <c r="B64" s="30" t="s">
        <v>1186</v>
      </c>
      <c r="C64" s="41">
        <v>1</v>
      </c>
      <c r="D64" s="41"/>
      <c r="E64" s="41"/>
      <c r="F64" s="41"/>
      <c r="G64" s="30">
        <v>1</v>
      </c>
      <c r="H64" s="30"/>
      <c r="I64" s="30"/>
      <c r="J64" s="30"/>
      <c r="K64" s="30"/>
      <c r="L64" s="56"/>
      <c r="M64" s="56"/>
      <c r="N64" s="56"/>
      <c r="O64" s="56"/>
      <c r="P64" s="56"/>
      <c r="Q64" s="56"/>
      <c r="R64" s="52">
        <f t="shared" si="1"/>
        <v>2</v>
      </c>
    </row>
    <row r="65" spans="1:18">
      <c r="A65" s="30" t="str">
        <f>"400510067"</f>
        <v>400510067</v>
      </c>
      <c r="B65" s="30" t="s">
        <v>1356</v>
      </c>
      <c r="C65" s="41"/>
      <c r="D65" s="41"/>
      <c r="E65" s="41"/>
      <c r="F65" s="41"/>
      <c r="G65" s="30"/>
      <c r="H65" s="30"/>
      <c r="I65" s="30"/>
      <c r="J65" s="30"/>
      <c r="K65" s="30"/>
      <c r="L65" s="56"/>
      <c r="M65" s="56"/>
      <c r="N65" s="56"/>
      <c r="O65" s="56"/>
      <c r="P65" s="56"/>
      <c r="Q65" s="56"/>
      <c r="R65" s="52">
        <f t="shared" si="1"/>
        <v>0</v>
      </c>
    </row>
    <row r="66" spans="1:18">
      <c r="A66" s="30" t="str">
        <f>"400510068"</f>
        <v>400510068</v>
      </c>
      <c r="B66" s="30" t="s">
        <v>1187</v>
      </c>
      <c r="C66" s="41">
        <v>1</v>
      </c>
      <c r="D66" s="41"/>
      <c r="E66" s="41"/>
      <c r="F66" s="41"/>
      <c r="G66" s="30"/>
      <c r="H66" s="30"/>
      <c r="I66" s="30"/>
      <c r="J66" s="30"/>
      <c r="K66" s="30"/>
      <c r="L66" s="56"/>
      <c r="M66" s="56"/>
      <c r="N66" s="56"/>
      <c r="O66" s="56">
        <v>1</v>
      </c>
      <c r="P66" s="56"/>
      <c r="Q66" s="56"/>
      <c r="R66" s="52">
        <f t="shared" si="1"/>
        <v>2</v>
      </c>
    </row>
    <row r="67" spans="1:18">
      <c r="A67" s="30" t="str">
        <f>"400510069"</f>
        <v>400510069</v>
      </c>
      <c r="B67" s="30" t="s">
        <v>1148</v>
      </c>
      <c r="C67" s="41">
        <v>1</v>
      </c>
      <c r="D67" s="41"/>
      <c r="E67" s="41"/>
      <c r="F67" s="41"/>
      <c r="G67" s="30"/>
      <c r="H67" s="30"/>
      <c r="I67" s="30"/>
      <c r="J67" s="30"/>
      <c r="K67" s="30"/>
      <c r="L67" s="56">
        <v>1</v>
      </c>
      <c r="M67" s="56"/>
      <c r="N67" s="56"/>
      <c r="O67" s="56"/>
      <c r="P67" s="56"/>
      <c r="Q67" s="56"/>
      <c r="R67" s="52">
        <f t="shared" si="1"/>
        <v>2</v>
      </c>
    </row>
    <row r="68" spans="1:18">
      <c r="A68" s="30" t="str">
        <f>"400510070"</f>
        <v>400510070</v>
      </c>
      <c r="B68" s="30" t="s">
        <v>1188</v>
      </c>
      <c r="C68" s="41">
        <v>1</v>
      </c>
      <c r="D68" s="41"/>
      <c r="E68" s="41"/>
      <c r="F68" s="41"/>
      <c r="G68" s="30">
        <v>1</v>
      </c>
      <c r="H68" s="30"/>
      <c r="I68" s="30"/>
      <c r="J68" s="30"/>
      <c r="K68" s="30"/>
      <c r="L68" s="56">
        <v>1</v>
      </c>
      <c r="M68" s="56"/>
      <c r="N68" s="56"/>
      <c r="O68" s="56"/>
      <c r="P68" s="56"/>
      <c r="Q68" s="56"/>
      <c r="R68" s="52">
        <f t="shared" ref="R68:R104" si="2">SUM(C68:O68)</f>
        <v>3</v>
      </c>
    </row>
    <row r="69" spans="1:18">
      <c r="A69" s="30" t="str">
        <f>"400510071"</f>
        <v>400510071</v>
      </c>
      <c r="B69" s="30" t="s">
        <v>1149</v>
      </c>
      <c r="C69" s="41">
        <v>1</v>
      </c>
      <c r="D69" s="41"/>
      <c r="E69" s="41"/>
      <c r="F69" s="41"/>
      <c r="G69" s="30"/>
      <c r="H69" s="30"/>
      <c r="I69" s="30"/>
      <c r="J69" s="30"/>
      <c r="K69" s="30"/>
      <c r="L69" s="56">
        <v>1</v>
      </c>
      <c r="M69" s="56"/>
      <c r="N69" s="56"/>
      <c r="O69" s="56"/>
      <c r="P69" s="56"/>
      <c r="Q69" s="56"/>
      <c r="R69" s="52">
        <f t="shared" si="2"/>
        <v>2</v>
      </c>
    </row>
    <row r="70" spans="1:18">
      <c r="A70" s="30" t="str">
        <f>"400510072"</f>
        <v>400510072</v>
      </c>
      <c r="B70" s="30" t="s">
        <v>1189</v>
      </c>
      <c r="C70" s="41">
        <v>1</v>
      </c>
      <c r="D70" s="41"/>
      <c r="E70" s="41">
        <v>1</v>
      </c>
      <c r="F70" s="41">
        <v>1</v>
      </c>
      <c r="G70" s="30"/>
      <c r="H70" s="30"/>
      <c r="I70" s="30"/>
      <c r="J70" s="30"/>
      <c r="K70" s="30"/>
      <c r="L70" s="56">
        <v>1</v>
      </c>
      <c r="M70" s="56"/>
      <c r="N70" s="56"/>
      <c r="O70" s="56">
        <v>1</v>
      </c>
      <c r="P70" s="56"/>
      <c r="Q70" s="56"/>
      <c r="R70" s="52">
        <f t="shared" si="2"/>
        <v>5</v>
      </c>
    </row>
    <row r="71" spans="1:18">
      <c r="A71" s="30" t="str">
        <f>"400510073"</f>
        <v>400510073</v>
      </c>
      <c r="B71" s="30" t="s">
        <v>1357</v>
      </c>
      <c r="C71" s="41"/>
      <c r="D71" s="41"/>
      <c r="E71" s="41"/>
      <c r="F71" s="41"/>
      <c r="G71" s="30"/>
      <c r="H71" s="30"/>
      <c r="I71" s="30"/>
      <c r="J71" s="30"/>
      <c r="K71" s="30"/>
      <c r="L71" s="56"/>
      <c r="M71" s="56"/>
      <c r="N71" s="56"/>
      <c r="O71" s="56">
        <v>1</v>
      </c>
      <c r="P71" s="56"/>
      <c r="Q71" s="56"/>
      <c r="R71" s="52">
        <f t="shared" si="2"/>
        <v>1</v>
      </c>
    </row>
    <row r="72" spans="1:18">
      <c r="A72" s="30" t="str">
        <f>"400510075"</f>
        <v>400510075</v>
      </c>
      <c r="B72" s="30" t="s">
        <v>1150</v>
      </c>
      <c r="C72" s="41">
        <v>1</v>
      </c>
      <c r="D72" s="41"/>
      <c r="E72" s="41"/>
      <c r="F72" s="41"/>
      <c r="G72" s="30"/>
      <c r="H72" s="30"/>
      <c r="I72" s="30"/>
      <c r="J72" s="30"/>
      <c r="K72" s="30"/>
      <c r="L72" s="56"/>
      <c r="M72" s="56"/>
      <c r="N72" s="56">
        <v>1</v>
      </c>
      <c r="O72" s="56"/>
      <c r="P72" s="56"/>
      <c r="Q72" s="56"/>
      <c r="R72" s="52">
        <f t="shared" si="2"/>
        <v>2</v>
      </c>
    </row>
    <row r="73" spans="1:18">
      <c r="A73" s="30" t="str">
        <f>"400510076"</f>
        <v>400510076</v>
      </c>
      <c r="B73" s="30" t="s">
        <v>1190</v>
      </c>
      <c r="C73" s="41">
        <v>1</v>
      </c>
      <c r="D73" s="41"/>
      <c r="E73" s="41"/>
      <c r="F73" s="41"/>
      <c r="G73" s="30"/>
      <c r="H73" s="30"/>
      <c r="I73" s="30"/>
      <c r="J73" s="30"/>
      <c r="K73" s="30"/>
      <c r="L73" s="56"/>
      <c r="M73" s="56"/>
      <c r="N73" s="56"/>
      <c r="O73" s="56"/>
      <c r="P73" s="56"/>
      <c r="Q73" s="56"/>
      <c r="R73" s="52">
        <f t="shared" si="2"/>
        <v>1</v>
      </c>
    </row>
    <row r="74" spans="1:18">
      <c r="A74" s="30" t="str">
        <f>"400510077"</f>
        <v>400510077</v>
      </c>
      <c r="B74" s="30" t="s">
        <v>1151</v>
      </c>
      <c r="C74" s="41">
        <v>1</v>
      </c>
      <c r="D74" s="41"/>
      <c r="E74" s="41"/>
      <c r="F74" s="41"/>
      <c r="G74" s="30"/>
      <c r="H74" s="30"/>
      <c r="I74" s="30"/>
      <c r="J74" s="30"/>
      <c r="K74" s="30"/>
      <c r="L74" s="56">
        <v>1</v>
      </c>
      <c r="M74" s="56"/>
      <c r="N74" s="56"/>
      <c r="O74" s="56"/>
      <c r="P74" s="56"/>
      <c r="Q74" s="56"/>
      <c r="R74" s="52">
        <f t="shared" si="2"/>
        <v>2</v>
      </c>
    </row>
    <row r="75" spans="1:18">
      <c r="A75" s="30" t="str">
        <f>"400510078"</f>
        <v>400510078</v>
      </c>
      <c r="B75" s="30" t="s">
        <v>1358</v>
      </c>
      <c r="C75" s="41"/>
      <c r="D75" s="41"/>
      <c r="E75" s="41"/>
      <c r="F75" s="41"/>
      <c r="G75" s="30"/>
      <c r="H75" s="30"/>
      <c r="I75" s="30"/>
      <c r="J75" s="30"/>
      <c r="K75" s="30"/>
      <c r="L75" s="56"/>
      <c r="M75" s="56"/>
      <c r="N75" s="56"/>
      <c r="O75" s="56"/>
      <c r="P75" s="56"/>
      <c r="Q75" s="56"/>
      <c r="R75" s="52">
        <f t="shared" si="2"/>
        <v>0</v>
      </c>
    </row>
    <row r="76" spans="1:18">
      <c r="A76" s="30" t="str">
        <f>"400510079"</f>
        <v>400510079</v>
      </c>
      <c r="B76" s="30" t="s">
        <v>1152</v>
      </c>
      <c r="C76" s="41">
        <v>1</v>
      </c>
      <c r="D76" s="41"/>
      <c r="E76" s="41"/>
      <c r="F76" s="41">
        <v>1</v>
      </c>
      <c r="G76" s="30"/>
      <c r="H76" s="30"/>
      <c r="I76" s="30"/>
      <c r="J76" s="30"/>
      <c r="K76" s="30"/>
      <c r="L76" s="56">
        <v>1</v>
      </c>
      <c r="M76" s="56"/>
      <c r="N76" s="56"/>
      <c r="O76" s="56"/>
      <c r="P76" s="56"/>
      <c r="Q76" s="56"/>
      <c r="R76" s="52">
        <f t="shared" si="2"/>
        <v>3</v>
      </c>
    </row>
    <row r="77" spans="1:18">
      <c r="A77" s="30" t="str">
        <f>"400510080"</f>
        <v>400510080</v>
      </c>
      <c r="B77" s="30" t="s">
        <v>1191</v>
      </c>
      <c r="C77" s="41">
        <v>1</v>
      </c>
      <c r="D77" s="41"/>
      <c r="E77" s="41">
        <v>1</v>
      </c>
      <c r="F77" s="41"/>
      <c r="G77" s="30"/>
      <c r="H77" s="30"/>
      <c r="I77" s="30"/>
      <c r="J77" s="30"/>
      <c r="K77" s="30"/>
      <c r="L77" s="56"/>
      <c r="M77" s="56"/>
      <c r="N77" s="56"/>
      <c r="O77" s="56">
        <v>1</v>
      </c>
      <c r="P77" s="56"/>
      <c r="Q77" s="56"/>
      <c r="R77" s="52">
        <f t="shared" si="2"/>
        <v>3</v>
      </c>
    </row>
    <row r="78" spans="1:18">
      <c r="A78" s="30" t="str">
        <f>"400510081"</f>
        <v>400510081</v>
      </c>
      <c r="B78" s="30" t="s">
        <v>1153</v>
      </c>
      <c r="C78" s="41">
        <v>1</v>
      </c>
      <c r="D78" s="41"/>
      <c r="E78" s="41"/>
      <c r="F78" s="41"/>
      <c r="G78" s="30"/>
      <c r="H78" s="30"/>
      <c r="I78" s="30"/>
      <c r="J78" s="30"/>
      <c r="K78" s="30"/>
      <c r="L78" s="56"/>
      <c r="M78" s="56"/>
      <c r="N78" s="56"/>
      <c r="O78" s="56">
        <v>1</v>
      </c>
      <c r="P78" s="56"/>
      <c r="Q78" s="56"/>
      <c r="R78" s="52">
        <f t="shared" si="2"/>
        <v>2</v>
      </c>
    </row>
    <row r="79" spans="1:18">
      <c r="A79" s="30" t="str">
        <f>"400510082"</f>
        <v>400510082</v>
      </c>
      <c r="B79" s="30" t="s">
        <v>1192</v>
      </c>
      <c r="C79" s="41">
        <v>1</v>
      </c>
      <c r="D79" s="41"/>
      <c r="E79" s="41"/>
      <c r="F79" s="41"/>
      <c r="G79" s="30"/>
      <c r="H79" s="30"/>
      <c r="I79" s="30"/>
      <c r="J79" s="30"/>
      <c r="K79" s="30"/>
      <c r="L79" s="56"/>
      <c r="M79" s="56"/>
      <c r="N79" s="56"/>
      <c r="O79" s="56"/>
      <c r="P79" s="56"/>
      <c r="Q79" s="56"/>
      <c r="R79" s="52">
        <f t="shared" si="2"/>
        <v>1</v>
      </c>
    </row>
    <row r="80" spans="1:18">
      <c r="A80" s="30" t="str">
        <f>"400510083"</f>
        <v>400510083</v>
      </c>
      <c r="B80" s="30" t="s">
        <v>1154</v>
      </c>
      <c r="C80" s="41">
        <v>1</v>
      </c>
      <c r="D80" s="41"/>
      <c r="E80" s="41"/>
      <c r="F80" s="41"/>
      <c r="G80" s="30"/>
      <c r="H80" s="30"/>
      <c r="I80" s="30"/>
      <c r="J80" s="30"/>
      <c r="K80" s="30"/>
      <c r="L80" s="56"/>
      <c r="M80" s="56"/>
      <c r="N80" s="56"/>
      <c r="O80" s="56"/>
      <c r="P80" s="56"/>
      <c r="Q80" s="56"/>
      <c r="R80" s="52">
        <f t="shared" si="2"/>
        <v>1</v>
      </c>
    </row>
    <row r="81" spans="1:18">
      <c r="A81" s="30" t="str">
        <f>"400510084"</f>
        <v>400510084</v>
      </c>
      <c r="B81" s="30" t="s">
        <v>1193</v>
      </c>
      <c r="C81" s="41">
        <v>1</v>
      </c>
      <c r="D81" s="41"/>
      <c r="E81" s="41"/>
      <c r="F81" s="41"/>
      <c r="G81" s="30"/>
      <c r="H81" s="30">
        <v>1</v>
      </c>
      <c r="I81" s="30"/>
      <c r="J81" s="30"/>
      <c r="K81" s="30"/>
      <c r="L81" s="56">
        <v>1</v>
      </c>
      <c r="M81" s="56"/>
      <c r="N81" s="56"/>
      <c r="O81" s="56"/>
      <c r="P81" s="56">
        <v>1</v>
      </c>
      <c r="Q81" s="56"/>
      <c r="R81" s="52">
        <f t="shared" si="2"/>
        <v>3</v>
      </c>
    </row>
    <row r="82" spans="1:18">
      <c r="A82" s="30" t="str">
        <f>"400510085"</f>
        <v>400510085</v>
      </c>
      <c r="B82" s="30" t="s">
        <v>1155</v>
      </c>
      <c r="C82" s="41">
        <v>1</v>
      </c>
      <c r="D82" s="41"/>
      <c r="E82" s="41"/>
      <c r="F82" s="41"/>
      <c r="G82" s="30"/>
      <c r="H82" s="30"/>
      <c r="I82" s="30"/>
      <c r="J82" s="30"/>
      <c r="K82" s="30"/>
      <c r="L82" s="56"/>
      <c r="M82" s="56"/>
      <c r="N82" s="56"/>
      <c r="O82" s="56">
        <v>1</v>
      </c>
      <c r="P82" s="56"/>
      <c r="Q82" s="56"/>
      <c r="R82" s="52">
        <f t="shared" si="2"/>
        <v>2</v>
      </c>
    </row>
    <row r="83" spans="1:18">
      <c r="A83" s="30" t="str">
        <f>"400510087"</f>
        <v>400510087</v>
      </c>
      <c r="B83" s="30" t="s">
        <v>1156</v>
      </c>
      <c r="C83" s="41">
        <v>1</v>
      </c>
      <c r="D83" s="41"/>
      <c r="E83" s="41"/>
      <c r="F83" s="41"/>
      <c r="G83" s="30"/>
      <c r="H83" s="30"/>
      <c r="I83" s="30"/>
      <c r="J83" s="30"/>
      <c r="K83" s="30"/>
      <c r="L83" s="56"/>
      <c r="M83" s="56"/>
      <c r="N83" s="56"/>
      <c r="O83" s="56"/>
      <c r="P83" s="56"/>
      <c r="Q83" s="56"/>
      <c r="R83" s="52">
        <f t="shared" si="2"/>
        <v>1</v>
      </c>
    </row>
    <row r="84" spans="1:18">
      <c r="A84" s="30" t="str">
        <f>"400510088"</f>
        <v>400510088</v>
      </c>
      <c r="B84" s="30" t="s">
        <v>1194</v>
      </c>
      <c r="C84" s="41">
        <v>1</v>
      </c>
      <c r="D84" s="41"/>
      <c r="E84" s="41"/>
      <c r="F84" s="41"/>
      <c r="G84" s="30"/>
      <c r="H84" s="30"/>
      <c r="I84" s="30"/>
      <c r="J84" s="30"/>
      <c r="K84" s="30">
        <v>1</v>
      </c>
      <c r="L84" s="56">
        <v>1</v>
      </c>
      <c r="M84" s="56"/>
      <c r="N84" s="56"/>
      <c r="O84" s="56"/>
      <c r="P84" s="56"/>
      <c r="Q84" s="56"/>
      <c r="R84" s="52">
        <f t="shared" si="2"/>
        <v>3</v>
      </c>
    </row>
    <row r="85" spans="1:18">
      <c r="A85" s="30" t="str">
        <f>"400510089"</f>
        <v>400510089</v>
      </c>
      <c r="B85" s="30" t="s">
        <v>1157</v>
      </c>
      <c r="C85" s="41">
        <v>1</v>
      </c>
      <c r="D85" s="41"/>
      <c r="E85" s="41"/>
      <c r="F85" s="41"/>
      <c r="G85" s="30"/>
      <c r="H85" s="30"/>
      <c r="I85" s="30">
        <v>1</v>
      </c>
      <c r="J85" s="30"/>
      <c r="K85" s="30"/>
      <c r="L85" s="56">
        <v>1</v>
      </c>
      <c r="M85" s="56"/>
      <c r="N85" s="56"/>
      <c r="O85" s="56">
        <v>1</v>
      </c>
      <c r="P85" s="56"/>
      <c r="Q85" s="56"/>
      <c r="R85" s="52">
        <f t="shared" si="2"/>
        <v>4</v>
      </c>
    </row>
    <row r="86" spans="1:18">
      <c r="A86" s="30" t="str">
        <f>"400510090"</f>
        <v>400510090</v>
      </c>
      <c r="B86" s="30" t="s">
        <v>1195</v>
      </c>
      <c r="C86" s="41">
        <v>1</v>
      </c>
      <c r="D86" s="41"/>
      <c r="E86" s="41"/>
      <c r="F86" s="41"/>
      <c r="G86" s="30"/>
      <c r="H86" s="30"/>
      <c r="I86" s="30"/>
      <c r="J86" s="30"/>
      <c r="K86" s="30">
        <v>1</v>
      </c>
      <c r="L86" s="56">
        <v>1</v>
      </c>
      <c r="M86" s="56"/>
      <c r="N86" s="56"/>
      <c r="O86" s="56"/>
      <c r="P86" s="56"/>
      <c r="Q86" s="56"/>
      <c r="R86" s="52">
        <f t="shared" si="2"/>
        <v>3</v>
      </c>
    </row>
    <row r="87" spans="1:18">
      <c r="A87" s="30" t="str">
        <f>"400510091"</f>
        <v>400510091</v>
      </c>
      <c r="B87" s="30" t="s">
        <v>1158</v>
      </c>
      <c r="C87" s="41">
        <v>1</v>
      </c>
      <c r="D87" s="41"/>
      <c r="E87" s="41"/>
      <c r="F87" s="41"/>
      <c r="G87" s="30"/>
      <c r="H87" s="30"/>
      <c r="I87" s="30"/>
      <c r="J87" s="30"/>
      <c r="K87" s="30"/>
      <c r="L87" s="56"/>
      <c r="M87" s="56"/>
      <c r="N87" s="56"/>
      <c r="O87" s="56"/>
      <c r="P87" s="56"/>
      <c r="Q87" s="56"/>
      <c r="R87" s="52">
        <f t="shared" si="2"/>
        <v>1</v>
      </c>
    </row>
    <row r="88" spans="1:18">
      <c r="A88" s="30" t="str">
        <f>"400510092"</f>
        <v>400510092</v>
      </c>
      <c r="B88" s="30" t="s">
        <v>1196</v>
      </c>
      <c r="C88" s="41">
        <v>1</v>
      </c>
      <c r="D88" s="41"/>
      <c r="E88" s="41"/>
      <c r="F88" s="41"/>
      <c r="G88" s="30"/>
      <c r="H88" s="30"/>
      <c r="I88" s="30"/>
      <c r="J88" s="30"/>
      <c r="K88" s="30"/>
      <c r="L88" s="56">
        <v>1</v>
      </c>
      <c r="M88" s="56"/>
      <c r="N88" s="56">
        <v>1</v>
      </c>
      <c r="O88" s="56"/>
      <c r="P88" s="56"/>
      <c r="Q88" s="56"/>
      <c r="R88" s="52">
        <f t="shared" si="2"/>
        <v>3</v>
      </c>
    </row>
    <row r="89" spans="1:18">
      <c r="A89" s="30" t="str">
        <f>"400510093"</f>
        <v>400510093</v>
      </c>
      <c r="B89" s="30" t="s">
        <v>1159</v>
      </c>
      <c r="C89" s="41">
        <v>1</v>
      </c>
      <c r="D89" s="41"/>
      <c r="E89" s="41"/>
      <c r="F89" s="41"/>
      <c r="G89" s="30"/>
      <c r="H89" s="30"/>
      <c r="I89" s="30"/>
      <c r="J89" s="30"/>
      <c r="K89" s="30"/>
      <c r="L89" s="56"/>
      <c r="M89" s="56"/>
      <c r="N89" s="56"/>
      <c r="O89" s="56"/>
      <c r="P89" s="56"/>
      <c r="Q89" s="56"/>
      <c r="R89" s="52">
        <f t="shared" si="2"/>
        <v>1</v>
      </c>
    </row>
    <row r="90" spans="1:18">
      <c r="A90" s="30" t="str">
        <f>"400510094"</f>
        <v>400510094</v>
      </c>
      <c r="B90" s="30" t="s">
        <v>1197</v>
      </c>
      <c r="C90" s="41">
        <v>1</v>
      </c>
      <c r="D90" s="41"/>
      <c r="E90" s="41"/>
      <c r="F90" s="41"/>
      <c r="G90" s="30">
        <v>1</v>
      </c>
      <c r="H90" s="30"/>
      <c r="I90" s="30"/>
      <c r="J90" s="30"/>
      <c r="K90" s="30"/>
      <c r="L90" s="56">
        <v>1</v>
      </c>
      <c r="M90" s="56"/>
      <c r="N90" s="56"/>
      <c r="O90" s="56">
        <v>1</v>
      </c>
      <c r="P90" s="56"/>
      <c r="Q90" s="56"/>
      <c r="R90" s="52">
        <f t="shared" si="2"/>
        <v>4</v>
      </c>
    </row>
    <row r="91" spans="1:18">
      <c r="A91" s="30" t="str">
        <f>"400510095"</f>
        <v>400510095</v>
      </c>
      <c r="B91" s="30" t="s">
        <v>1160</v>
      </c>
      <c r="C91" s="41">
        <v>1</v>
      </c>
      <c r="D91" s="41"/>
      <c r="E91" s="41"/>
      <c r="F91" s="41"/>
      <c r="G91" s="30"/>
      <c r="H91" s="30"/>
      <c r="I91" s="30"/>
      <c r="J91" s="30"/>
      <c r="K91" s="30"/>
      <c r="L91" s="56">
        <v>1</v>
      </c>
      <c r="M91" s="56"/>
      <c r="N91" s="56">
        <v>1</v>
      </c>
      <c r="O91" s="56"/>
      <c r="P91" s="56"/>
      <c r="Q91" s="56"/>
      <c r="R91" s="52">
        <f t="shared" si="2"/>
        <v>3</v>
      </c>
    </row>
    <row r="92" spans="1:18">
      <c r="A92" s="30" t="str">
        <f>"400510096"</f>
        <v>400510096</v>
      </c>
      <c r="B92" s="30" t="s">
        <v>1198</v>
      </c>
      <c r="C92" s="41">
        <v>1</v>
      </c>
      <c r="D92" s="41"/>
      <c r="E92" s="41"/>
      <c r="F92" s="41"/>
      <c r="G92" s="30"/>
      <c r="H92" s="30"/>
      <c r="I92" s="30"/>
      <c r="J92" s="30"/>
      <c r="K92" s="30">
        <v>1</v>
      </c>
      <c r="L92" s="56">
        <v>1</v>
      </c>
      <c r="M92" s="56"/>
      <c r="N92" s="56"/>
      <c r="O92" s="56"/>
      <c r="P92" s="56"/>
      <c r="Q92" s="56"/>
      <c r="R92" s="52">
        <f t="shared" si="2"/>
        <v>3</v>
      </c>
    </row>
    <row r="93" spans="1:18">
      <c r="A93" s="30" t="str">
        <f>"400510097"</f>
        <v>400510097</v>
      </c>
      <c r="B93" s="30" t="s">
        <v>1161</v>
      </c>
      <c r="C93" s="41">
        <v>1</v>
      </c>
      <c r="D93" s="41"/>
      <c r="E93" s="41"/>
      <c r="F93" s="41"/>
      <c r="G93" s="30"/>
      <c r="H93" s="30"/>
      <c r="I93" s="30"/>
      <c r="J93" s="30"/>
      <c r="K93" s="30">
        <v>1</v>
      </c>
      <c r="L93" s="56">
        <v>1</v>
      </c>
      <c r="M93" s="56"/>
      <c r="N93" s="56">
        <v>1</v>
      </c>
      <c r="O93" s="56"/>
      <c r="P93" s="56"/>
      <c r="Q93" s="56"/>
      <c r="R93" s="52">
        <f t="shared" si="2"/>
        <v>4</v>
      </c>
    </row>
    <row r="94" spans="1:18">
      <c r="A94" s="30" t="str">
        <f>"400510098"</f>
        <v>400510098</v>
      </c>
      <c r="B94" s="30" t="s">
        <v>1199</v>
      </c>
      <c r="C94" s="41">
        <v>1</v>
      </c>
      <c r="D94" s="41"/>
      <c r="E94" s="41"/>
      <c r="F94" s="41"/>
      <c r="G94" s="30"/>
      <c r="H94" s="30">
        <v>1</v>
      </c>
      <c r="I94" s="30"/>
      <c r="J94" s="30"/>
      <c r="K94" s="30">
        <v>1</v>
      </c>
      <c r="L94" s="56"/>
      <c r="M94" s="56"/>
      <c r="N94" s="56">
        <v>1</v>
      </c>
      <c r="O94" s="56"/>
      <c r="P94" s="56"/>
      <c r="Q94" s="56"/>
      <c r="R94" s="52">
        <f t="shared" si="2"/>
        <v>4</v>
      </c>
    </row>
    <row r="95" spans="1:18">
      <c r="A95" s="30" t="str">
        <f>"400510099"</f>
        <v>400510099</v>
      </c>
      <c r="B95" s="30" t="s">
        <v>1162</v>
      </c>
      <c r="C95" s="41">
        <v>1</v>
      </c>
      <c r="D95" s="41"/>
      <c r="E95" s="41"/>
      <c r="F95" s="41"/>
      <c r="G95" s="30"/>
      <c r="H95" s="30"/>
      <c r="I95" s="30"/>
      <c r="J95" s="30"/>
      <c r="K95" s="30"/>
      <c r="L95" s="56"/>
      <c r="M95" s="56"/>
      <c r="N95" s="56"/>
      <c r="O95" s="56"/>
      <c r="P95" s="56"/>
      <c r="Q95" s="56"/>
      <c r="R95" s="52">
        <f t="shared" si="2"/>
        <v>1</v>
      </c>
    </row>
    <row r="96" spans="1:18">
      <c r="A96" s="30" t="str">
        <f>"400510100"</f>
        <v>400510100</v>
      </c>
      <c r="B96" s="30" t="s">
        <v>1200</v>
      </c>
      <c r="C96" s="41">
        <v>1</v>
      </c>
      <c r="D96" s="41"/>
      <c r="E96" s="41"/>
      <c r="F96" s="41"/>
      <c r="G96" s="30"/>
      <c r="H96" s="30"/>
      <c r="I96" s="30"/>
      <c r="J96" s="30"/>
      <c r="K96" s="30"/>
      <c r="L96" s="56">
        <v>1</v>
      </c>
      <c r="M96" s="56"/>
      <c r="N96" s="56"/>
      <c r="O96" s="56"/>
      <c r="P96" s="56"/>
      <c r="Q96" s="56"/>
      <c r="R96" s="52">
        <f t="shared" si="2"/>
        <v>2</v>
      </c>
    </row>
    <row r="97" spans="1:22">
      <c r="A97" s="30" t="str">
        <f>"400510101"</f>
        <v>400510101</v>
      </c>
      <c r="B97" s="30" t="s">
        <v>1163</v>
      </c>
      <c r="C97" s="41">
        <v>1</v>
      </c>
      <c r="D97" s="41"/>
      <c r="E97" s="41"/>
      <c r="F97" s="41">
        <v>1</v>
      </c>
      <c r="G97" s="30"/>
      <c r="H97" s="30"/>
      <c r="I97" s="30"/>
      <c r="J97" s="30"/>
      <c r="K97" s="30"/>
      <c r="L97" s="56"/>
      <c r="M97" s="56"/>
      <c r="N97" s="56"/>
      <c r="O97" s="56"/>
      <c r="P97" s="56"/>
      <c r="Q97" s="56"/>
      <c r="R97" s="52">
        <f t="shared" si="2"/>
        <v>2</v>
      </c>
    </row>
    <row r="98" spans="1:22">
      <c r="A98" s="30" t="str">
        <f>"400510102"</f>
        <v>400510102</v>
      </c>
      <c r="B98" s="30" t="s">
        <v>1201</v>
      </c>
      <c r="C98" s="41">
        <v>1</v>
      </c>
      <c r="D98" s="41"/>
      <c r="E98" s="41"/>
      <c r="F98" s="41"/>
      <c r="G98" s="30"/>
      <c r="H98" s="30"/>
      <c r="I98" s="30"/>
      <c r="J98" s="30"/>
      <c r="K98" s="30"/>
      <c r="L98" s="56">
        <v>1</v>
      </c>
      <c r="M98" s="56"/>
      <c r="N98" s="56"/>
      <c r="O98" s="56"/>
      <c r="P98" s="56"/>
      <c r="Q98" s="56"/>
      <c r="R98" s="52">
        <f t="shared" si="2"/>
        <v>2</v>
      </c>
    </row>
    <row r="99" spans="1:22">
      <c r="A99" s="15" t="str">
        <f>"400510103"</f>
        <v>400510103</v>
      </c>
      <c r="B99" s="40" t="s">
        <v>1359</v>
      </c>
      <c r="C99" s="41"/>
      <c r="D99" s="41"/>
      <c r="E99" s="41"/>
      <c r="F99" s="41"/>
      <c r="G99" s="30"/>
      <c r="H99" s="30"/>
      <c r="I99" s="30"/>
      <c r="J99" s="30"/>
      <c r="K99" s="30"/>
      <c r="L99" s="56"/>
      <c r="M99" s="56"/>
      <c r="N99" s="56"/>
      <c r="O99" s="56"/>
      <c r="P99" s="56"/>
      <c r="Q99" s="56"/>
      <c r="R99" s="52">
        <f t="shared" si="2"/>
        <v>0</v>
      </c>
    </row>
    <row r="100" spans="1:22">
      <c r="A100" s="63">
        <v>400510104</v>
      </c>
      <c r="B100" s="64" t="s">
        <v>1301</v>
      </c>
      <c r="C100" s="41"/>
      <c r="D100" s="41"/>
      <c r="E100" s="41"/>
      <c r="F100" s="41"/>
      <c r="G100" s="30"/>
      <c r="H100" s="30"/>
      <c r="I100" s="30"/>
      <c r="J100" s="30"/>
      <c r="K100" s="30"/>
      <c r="L100" s="56">
        <v>1</v>
      </c>
      <c r="M100" s="56"/>
      <c r="N100" s="56"/>
      <c r="O100" s="56"/>
      <c r="P100" s="56"/>
      <c r="Q100" s="56"/>
      <c r="R100" s="52">
        <f t="shared" si="2"/>
        <v>1</v>
      </c>
    </row>
    <row r="101" spans="1:22">
      <c r="A101" s="63">
        <v>400510105</v>
      </c>
      <c r="B101" s="64" t="s">
        <v>1302</v>
      </c>
      <c r="C101" s="41"/>
      <c r="D101" s="41"/>
      <c r="E101" s="41"/>
      <c r="F101" s="41"/>
      <c r="G101" s="30"/>
      <c r="H101" s="30"/>
      <c r="I101" s="30"/>
      <c r="J101" s="30"/>
      <c r="K101" s="30"/>
      <c r="L101" s="56">
        <v>1</v>
      </c>
      <c r="M101" s="56"/>
      <c r="N101" s="56"/>
      <c r="O101" s="56"/>
      <c r="P101" s="56"/>
      <c r="Q101" s="56"/>
      <c r="R101" s="52">
        <f t="shared" si="2"/>
        <v>1</v>
      </c>
    </row>
    <row r="102" spans="1:22">
      <c r="A102" s="63">
        <v>400510107</v>
      </c>
      <c r="B102" s="64" t="s">
        <v>1303</v>
      </c>
      <c r="C102" s="41"/>
      <c r="D102" s="41"/>
      <c r="E102" s="41"/>
      <c r="F102" s="41"/>
      <c r="G102" s="30"/>
      <c r="H102" s="30"/>
      <c r="I102" s="30"/>
      <c r="J102" s="30"/>
      <c r="K102" s="30"/>
      <c r="L102" s="56"/>
      <c r="M102" s="56"/>
      <c r="N102" s="56"/>
      <c r="O102" s="56"/>
      <c r="P102" s="56"/>
      <c r="Q102" s="56"/>
      <c r="R102" s="52">
        <f t="shared" si="2"/>
        <v>0</v>
      </c>
    </row>
    <row r="103" spans="1:22" ht="17.25" customHeight="1">
      <c r="A103" s="15">
        <v>400510108</v>
      </c>
      <c r="B103" s="14" t="s">
        <v>1478</v>
      </c>
      <c r="C103" s="41"/>
      <c r="D103" s="41"/>
      <c r="E103" s="41"/>
      <c r="F103" s="41"/>
      <c r="G103" s="30"/>
      <c r="H103" s="30"/>
      <c r="I103" s="30"/>
      <c r="J103" s="30"/>
      <c r="K103" s="30"/>
      <c r="L103" s="56">
        <v>1</v>
      </c>
      <c r="M103" s="56"/>
      <c r="N103" s="56"/>
      <c r="O103" s="56"/>
      <c r="P103" s="56"/>
      <c r="Q103" s="56"/>
      <c r="R103" s="52">
        <f t="shared" si="2"/>
        <v>1</v>
      </c>
    </row>
    <row r="104" spans="1:22" ht="17.25" customHeight="1">
      <c r="A104" s="63">
        <v>400510109</v>
      </c>
      <c r="B104" s="14" t="s">
        <v>1479</v>
      </c>
      <c r="C104" s="41"/>
      <c r="D104" s="41"/>
      <c r="E104" s="41"/>
      <c r="F104" s="41"/>
      <c r="G104" s="30"/>
      <c r="H104" s="30"/>
      <c r="I104" s="30"/>
      <c r="J104" s="30"/>
      <c r="K104" s="30"/>
      <c r="L104" s="56">
        <v>1</v>
      </c>
      <c r="M104" s="56"/>
      <c r="N104" s="56"/>
      <c r="O104" s="56">
        <v>1</v>
      </c>
      <c r="P104" s="56"/>
      <c r="Q104" s="56"/>
      <c r="R104" s="52">
        <f t="shared" si="2"/>
        <v>2</v>
      </c>
    </row>
    <row r="105" spans="1:22">
      <c r="A105" s="69"/>
      <c r="B105" s="70"/>
      <c r="C105" s="71"/>
      <c r="D105" s="71"/>
      <c r="E105" s="71"/>
      <c r="F105" s="71"/>
      <c r="G105" s="7"/>
      <c r="H105" s="7"/>
      <c r="I105" s="7"/>
      <c r="J105" s="7"/>
      <c r="K105" s="7"/>
      <c r="L105" s="74"/>
      <c r="M105" s="74"/>
      <c r="N105" s="74"/>
      <c r="O105" s="74"/>
      <c r="P105" s="74"/>
      <c r="Q105" s="74"/>
      <c r="R105" s="75"/>
    </row>
    <row r="106" spans="1:22">
      <c r="A106" s="61"/>
      <c r="B106" s="62"/>
      <c r="C106" s="44"/>
    </row>
    <row r="107" spans="1:22">
      <c r="A107" s="61"/>
      <c r="B107" s="62"/>
      <c r="C107" s="44"/>
    </row>
    <row r="108" spans="1:22">
      <c r="A108" s="32" t="s">
        <v>907</v>
      </c>
      <c r="C108" s="44"/>
      <c r="H108" t="s">
        <v>1203</v>
      </c>
      <c r="R108" s="53">
        <f>MEDIAN(R3:R102)</f>
        <v>2</v>
      </c>
    </row>
    <row r="109" spans="1:22" s="2" customFormat="1">
      <c r="A109" s="129" t="s">
        <v>1207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1:22" s="2" customFormat="1">
      <c r="A110" s="129" t="s">
        <v>1206</v>
      </c>
      <c r="B110" s="129"/>
      <c r="C110" s="129"/>
      <c r="D110" s="129"/>
      <c r="E110" s="129"/>
      <c r="F110" s="129"/>
      <c r="G110" s="129"/>
      <c r="L110" s="50"/>
      <c r="M110" s="50"/>
      <c r="N110" s="50"/>
      <c r="O110" s="50"/>
      <c r="P110" s="50"/>
      <c r="Q110" s="50"/>
      <c r="R110" s="50"/>
    </row>
    <row r="111" spans="1:22">
      <c r="A111" s="129" t="s">
        <v>1221</v>
      </c>
      <c r="B111" s="129"/>
      <c r="C111" s="129"/>
      <c r="D111" s="129"/>
      <c r="E111" s="129"/>
      <c r="F111" s="129"/>
      <c r="G111" s="129"/>
      <c r="H111" s="53"/>
      <c r="I111" s="53"/>
      <c r="J111" s="53"/>
      <c r="K111" s="53"/>
      <c r="S111" s="53"/>
      <c r="T111" s="53"/>
      <c r="U111" s="53"/>
      <c r="V111" s="53"/>
    </row>
    <row r="112" spans="1:22" s="2" customFormat="1">
      <c r="A112" s="2" t="s">
        <v>1222</v>
      </c>
      <c r="D112" s="45"/>
      <c r="E112" s="45"/>
      <c r="F112" s="45"/>
      <c r="L112" s="50"/>
      <c r="M112" s="50"/>
      <c r="N112" s="50"/>
      <c r="O112" s="50"/>
      <c r="P112" s="50"/>
      <c r="Q112" s="50"/>
      <c r="R112" s="50"/>
    </row>
    <row r="113" spans="1:23">
      <c r="A113" s="2" t="s">
        <v>1360</v>
      </c>
      <c r="C113" s="53"/>
      <c r="D113" s="53"/>
      <c r="E113" s="53"/>
      <c r="F113" s="53"/>
      <c r="G113" s="53"/>
      <c r="H113" s="53"/>
      <c r="I113" s="53"/>
      <c r="J113" s="53"/>
      <c r="K113" s="53"/>
      <c r="S113" s="53"/>
      <c r="T113" s="53"/>
      <c r="U113" s="53"/>
      <c r="V113" s="53"/>
      <c r="W113" s="53"/>
    </row>
    <row r="114" spans="1:23" s="2" customFormat="1">
      <c r="A114" s="2" t="s">
        <v>1361</v>
      </c>
      <c r="D114" s="45"/>
      <c r="E114" s="45"/>
      <c r="F114" s="45"/>
      <c r="L114" s="50"/>
      <c r="M114" s="50"/>
      <c r="N114" s="50"/>
      <c r="O114" s="50"/>
      <c r="P114" s="50"/>
      <c r="Q114" s="50"/>
      <c r="R114" s="50"/>
    </row>
    <row r="115" spans="1:23">
      <c r="A115" t="s">
        <v>1362</v>
      </c>
    </row>
    <row r="116" spans="1:23" s="2" customFormat="1">
      <c r="A116" s="129" t="s">
        <v>1368</v>
      </c>
      <c r="B116" s="129"/>
      <c r="C116" s="129"/>
      <c r="D116" s="129"/>
      <c r="E116" s="129"/>
      <c r="F116" s="129"/>
      <c r="G116" s="129"/>
      <c r="L116" s="50"/>
      <c r="M116" s="50"/>
      <c r="N116" s="50"/>
      <c r="O116" s="50"/>
      <c r="P116" s="50"/>
      <c r="Q116" s="50"/>
      <c r="R116" s="50"/>
    </row>
    <row r="117" spans="1:23">
      <c r="A117" s="2" t="s">
        <v>1470</v>
      </c>
    </row>
    <row r="118" spans="1:23">
      <c r="A118" s="1" t="s">
        <v>1480</v>
      </c>
      <c r="B118" s="72"/>
    </row>
    <row r="119" spans="1:23">
      <c r="A119" t="s">
        <v>1484</v>
      </c>
    </row>
    <row r="120" spans="1:23">
      <c r="A120" t="s">
        <v>1486</v>
      </c>
    </row>
    <row r="121" spans="1:23">
      <c r="A121" t="s">
        <v>1499</v>
      </c>
    </row>
    <row r="122" spans="1:23" s="2" customFormat="1">
      <c r="A122" s="129" t="s">
        <v>1501</v>
      </c>
      <c r="B122" s="129"/>
      <c r="C122" s="129"/>
      <c r="D122" s="129"/>
      <c r="E122" s="129"/>
      <c r="F122" s="129"/>
      <c r="G122" s="129"/>
      <c r="L122" s="50"/>
      <c r="M122" s="50"/>
      <c r="N122" s="50"/>
      <c r="O122" s="50"/>
      <c r="P122" s="50"/>
      <c r="Q122" s="50"/>
      <c r="R122" s="50"/>
    </row>
    <row r="123" spans="1:23" ht="20.25" customHeight="1">
      <c r="A123" s="129" t="s">
        <v>1504</v>
      </c>
      <c r="B123" s="129"/>
      <c r="C123" s="129"/>
      <c r="D123" s="129"/>
      <c r="E123" s="129"/>
      <c r="F123" s="129"/>
      <c r="G123" s="129"/>
    </row>
  </sheetData>
  <mergeCells count="6">
    <mergeCell ref="A123:G123"/>
    <mergeCell ref="A109:R109"/>
    <mergeCell ref="A110:G110"/>
    <mergeCell ref="A111:G111"/>
    <mergeCell ref="A116:G116"/>
    <mergeCell ref="A122:G12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42" workbookViewId="0">
      <selection activeCell="B55" sqref="B55"/>
    </sheetView>
  </sheetViews>
  <sheetFormatPr defaultRowHeight="16.2"/>
  <cols>
    <col min="1" max="1" width="10.44140625" bestFit="1" customWidth="1"/>
    <col min="2" max="2" width="12.44140625" bestFit="1" customWidth="1"/>
    <col min="3" max="3" width="6.109375" style="44" customWidth="1"/>
    <col min="4" max="6" width="6.109375" customWidth="1"/>
    <col min="7" max="7" width="6.109375" style="44" customWidth="1"/>
    <col min="8" max="14" width="6.77734375" customWidth="1"/>
    <col min="15" max="15" width="6.109375" customWidth="1"/>
  </cols>
  <sheetData>
    <row r="1" spans="1:19">
      <c r="A1" s="1" t="s">
        <v>700</v>
      </c>
      <c r="B1" s="2"/>
      <c r="C1" s="42">
        <f>MAX(O5:O115)</f>
        <v>4</v>
      </c>
      <c r="D1" s="2"/>
      <c r="E1" s="2"/>
      <c r="F1" s="2"/>
      <c r="G1" s="45"/>
      <c r="H1" s="2"/>
      <c r="I1" s="2"/>
      <c r="J1" s="2"/>
      <c r="K1" s="2"/>
      <c r="L1" s="2"/>
      <c r="M1" s="2"/>
      <c r="N1" s="2"/>
      <c r="O1" s="2"/>
    </row>
    <row r="2" spans="1:19">
      <c r="A2" s="27" t="s">
        <v>646</v>
      </c>
      <c r="B2" s="27" t="s">
        <v>661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8" t="s">
        <v>143</v>
      </c>
      <c r="P2" s="7"/>
      <c r="Q2" s="7"/>
      <c r="R2" s="7"/>
      <c r="S2" s="7"/>
    </row>
    <row r="3" spans="1:19">
      <c r="A3" s="78">
        <v>499330043</v>
      </c>
      <c r="B3" s="79" t="s">
        <v>1489</v>
      </c>
      <c r="C3" s="21"/>
      <c r="D3" s="23"/>
      <c r="E3" s="23"/>
      <c r="F3" s="23"/>
      <c r="G3" s="23"/>
      <c r="H3" s="23"/>
      <c r="I3" s="23"/>
      <c r="J3" s="23"/>
      <c r="K3" s="23"/>
      <c r="L3" s="23"/>
      <c r="M3" s="23">
        <v>1</v>
      </c>
      <c r="N3" s="23"/>
      <c r="O3" s="80">
        <f>SUM(C3:M3)</f>
        <v>1</v>
      </c>
      <c r="P3" s="7"/>
      <c r="Q3" s="7"/>
      <c r="R3" s="7"/>
      <c r="S3" s="7"/>
    </row>
    <row r="4" spans="1:19">
      <c r="A4" s="78">
        <v>498330044</v>
      </c>
      <c r="B4" s="79" t="s">
        <v>1490</v>
      </c>
      <c r="C4" s="21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80">
        <f t="shared" ref="O4:O67" si="0">SUM(C4:M4)</f>
        <v>0</v>
      </c>
      <c r="P4" s="7"/>
      <c r="Q4" s="7"/>
      <c r="R4" s="7"/>
      <c r="S4" s="7"/>
    </row>
    <row r="5" spans="1:19">
      <c r="A5" s="34" t="s">
        <v>917</v>
      </c>
      <c r="B5" s="34" t="s">
        <v>918</v>
      </c>
      <c r="C5" s="41">
        <v>1</v>
      </c>
      <c r="D5" s="30"/>
      <c r="E5" s="30"/>
      <c r="F5" s="30"/>
      <c r="G5" s="41"/>
      <c r="H5" s="30"/>
      <c r="I5" s="30"/>
      <c r="J5" s="30"/>
      <c r="K5" s="30"/>
      <c r="L5" s="30"/>
      <c r="M5" s="30"/>
      <c r="N5" s="30"/>
      <c r="O5" s="80">
        <f t="shared" si="0"/>
        <v>1</v>
      </c>
    </row>
    <row r="6" spans="1:19" s="39" customFormat="1">
      <c r="A6" s="34" t="s">
        <v>919</v>
      </c>
      <c r="B6" s="34" t="s">
        <v>920</v>
      </c>
      <c r="C6" s="43">
        <v>1</v>
      </c>
      <c r="D6" s="40"/>
      <c r="E6" s="40"/>
      <c r="F6" s="40"/>
      <c r="G6" s="43"/>
      <c r="H6" s="40"/>
      <c r="I6" s="40"/>
      <c r="J6" s="40"/>
      <c r="K6" s="40"/>
      <c r="L6" s="40"/>
      <c r="M6" s="40"/>
      <c r="N6" s="40"/>
      <c r="O6" s="80">
        <f t="shared" si="0"/>
        <v>1</v>
      </c>
    </row>
    <row r="7" spans="1:19" s="39" customFormat="1">
      <c r="A7" s="34" t="s">
        <v>1020</v>
      </c>
      <c r="B7" s="34" t="s">
        <v>1021</v>
      </c>
      <c r="C7" s="43">
        <v>1</v>
      </c>
      <c r="D7" s="40"/>
      <c r="E7" s="40"/>
      <c r="F7" s="40"/>
      <c r="G7" s="43"/>
      <c r="H7" s="40"/>
      <c r="I7" s="40"/>
      <c r="J7" s="40"/>
      <c r="K7" s="40"/>
      <c r="L7" s="40"/>
      <c r="M7" s="40"/>
      <c r="N7" s="40"/>
      <c r="O7" s="80">
        <f t="shared" si="0"/>
        <v>1</v>
      </c>
    </row>
    <row r="8" spans="1:19" s="39" customFormat="1">
      <c r="A8" s="34" t="s">
        <v>921</v>
      </c>
      <c r="B8" s="34" t="s">
        <v>922</v>
      </c>
      <c r="C8" s="43"/>
      <c r="D8" s="40"/>
      <c r="E8" s="40"/>
      <c r="F8" s="40"/>
      <c r="G8" s="43"/>
      <c r="H8" s="40"/>
      <c r="I8" s="40"/>
      <c r="J8" s="40"/>
      <c r="K8" s="40"/>
      <c r="L8" s="40"/>
      <c r="M8" s="40"/>
      <c r="N8" s="40"/>
      <c r="O8" s="80">
        <f t="shared" si="0"/>
        <v>0</v>
      </c>
    </row>
    <row r="9" spans="1:19" s="39" customFormat="1">
      <c r="A9" s="34" t="s">
        <v>1022</v>
      </c>
      <c r="B9" s="34" t="s">
        <v>1023</v>
      </c>
      <c r="C9" s="43">
        <v>1</v>
      </c>
      <c r="D9" s="40"/>
      <c r="E9" s="40"/>
      <c r="F9" s="40"/>
      <c r="G9" s="43">
        <v>1</v>
      </c>
      <c r="H9" s="40"/>
      <c r="I9" s="40"/>
      <c r="J9" s="40"/>
      <c r="K9" s="40"/>
      <c r="L9" s="40"/>
      <c r="M9" s="40"/>
      <c r="N9" s="40"/>
      <c r="O9" s="80">
        <f t="shared" si="0"/>
        <v>2</v>
      </c>
    </row>
    <row r="10" spans="1:19" s="39" customFormat="1">
      <c r="A10" s="34" t="s">
        <v>923</v>
      </c>
      <c r="B10" s="34" t="s">
        <v>924</v>
      </c>
      <c r="C10" s="43">
        <v>1</v>
      </c>
      <c r="D10" s="40"/>
      <c r="E10" s="40"/>
      <c r="F10" s="40"/>
      <c r="G10" s="43"/>
      <c r="H10" s="40"/>
      <c r="I10" s="40"/>
      <c r="J10" s="40"/>
      <c r="K10" s="40"/>
      <c r="L10" s="40"/>
      <c r="M10" s="40"/>
      <c r="N10" s="40"/>
      <c r="O10" s="80">
        <f t="shared" si="0"/>
        <v>1</v>
      </c>
    </row>
    <row r="11" spans="1:19" s="39" customFormat="1">
      <c r="A11" s="34" t="s">
        <v>1024</v>
      </c>
      <c r="B11" s="34" t="s">
        <v>1025</v>
      </c>
      <c r="C11" s="43"/>
      <c r="D11" s="40">
        <v>1</v>
      </c>
      <c r="E11" s="40"/>
      <c r="F11" s="40"/>
      <c r="G11" s="43"/>
      <c r="H11" s="40"/>
      <c r="I11" s="40"/>
      <c r="J11" s="40"/>
      <c r="K11" s="40"/>
      <c r="L11" s="40"/>
      <c r="M11" s="40"/>
      <c r="N11" s="40"/>
      <c r="O11" s="80">
        <f t="shared" si="0"/>
        <v>1</v>
      </c>
    </row>
    <row r="12" spans="1:19" s="39" customFormat="1">
      <c r="A12" s="34" t="s">
        <v>925</v>
      </c>
      <c r="B12" s="34" t="s">
        <v>926</v>
      </c>
      <c r="C12" s="43">
        <v>1</v>
      </c>
      <c r="D12" s="40"/>
      <c r="E12" s="40"/>
      <c r="F12" s="40"/>
      <c r="G12" s="43"/>
      <c r="H12" s="40"/>
      <c r="I12" s="40"/>
      <c r="J12" s="40">
        <v>1</v>
      </c>
      <c r="K12" s="40"/>
      <c r="L12" s="40"/>
      <c r="M12" s="40"/>
      <c r="N12" s="40"/>
      <c r="O12" s="80">
        <f t="shared" si="0"/>
        <v>2</v>
      </c>
    </row>
    <row r="13" spans="1:19" s="39" customFormat="1">
      <c r="A13" s="34" t="s">
        <v>1026</v>
      </c>
      <c r="B13" s="34" t="s">
        <v>1027</v>
      </c>
      <c r="C13" s="43">
        <v>1</v>
      </c>
      <c r="D13" s="40"/>
      <c r="E13" s="40"/>
      <c r="F13" s="40"/>
      <c r="G13" s="43"/>
      <c r="H13" s="40"/>
      <c r="I13" s="40"/>
      <c r="J13" s="40"/>
      <c r="K13" s="40"/>
      <c r="L13" s="40"/>
      <c r="M13" s="40"/>
      <c r="N13" s="40"/>
      <c r="O13" s="80">
        <f t="shared" si="0"/>
        <v>1</v>
      </c>
    </row>
    <row r="14" spans="1:19" s="39" customFormat="1">
      <c r="A14" s="34" t="s">
        <v>927</v>
      </c>
      <c r="B14" s="34" t="s">
        <v>928</v>
      </c>
      <c r="C14" s="43">
        <v>1</v>
      </c>
      <c r="D14" s="40"/>
      <c r="E14" s="40"/>
      <c r="F14" s="40"/>
      <c r="G14" s="43">
        <v>1</v>
      </c>
      <c r="H14" s="40">
        <v>1</v>
      </c>
      <c r="I14" s="40"/>
      <c r="J14" s="40"/>
      <c r="K14" s="40"/>
      <c r="L14" s="40"/>
      <c r="M14" s="40"/>
      <c r="N14" s="40"/>
      <c r="O14" s="80">
        <f t="shared" si="0"/>
        <v>3</v>
      </c>
    </row>
    <row r="15" spans="1:19" s="39" customFormat="1">
      <c r="A15" s="34" t="s">
        <v>1028</v>
      </c>
      <c r="B15" s="34" t="s">
        <v>1029</v>
      </c>
      <c r="C15" s="43">
        <v>1</v>
      </c>
      <c r="D15" s="40"/>
      <c r="E15" s="40"/>
      <c r="F15" s="40"/>
      <c r="G15" s="43"/>
      <c r="H15" s="40"/>
      <c r="I15" s="40"/>
      <c r="J15" s="40"/>
      <c r="K15" s="40"/>
      <c r="L15" s="40"/>
      <c r="M15" s="40"/>
      <c r="N15" s="40"/>
      <c r="O15" s="80">
        <f t="shared" si="0"/>
        <v>1</v>
      </c>
    </row>
    <row r="16" spans="1:19" s="39" customFormat="1">
      <c r="A16" s="34" t="s">
        <v>929</v>
      </c>
      <c r="B16" s="34" t="s">
        <v>930</v>
      </c>
      <c r="C16" s="43"/>
      <c r="D16" s="40"/>
      <c r="E16" s="40"/>
      <c r="F16" s="40"/>
      <c r="G16" s="43"/>
      <c r="H16" s="40"/>
      <c r="I16" s="40"/>
      <c r="J16" s="40"/>
      <c r="K16" s="40"/>
      <c r="L16" s="40"/>
      <c r="M16" s="40"/>
      <c r="N16" s="40"/>
      <c r="O16" s="80">
        <f t="shared" si="0"/>
        <v>0</v>
      </c>
    </row>
    <row r="17" spans="1:15" s="39" customFormat="1">
      <c r="A17" s="34" t="s">
        <v>1030</v>
      </c>
      <c r="B17" s="34" t="s">
        <v>1031</v>
      </c>
      <c r="C17" s="43">
        <v>1</v>
      </c>
      <c r="D17" s="40"/>
      <c r="E17" s="40"/>
      <c r="F17" s="40"/>
      <c r="G17" s="43"/>
      <c r="H17" s="40"/>
      <c r="I17" s="40"/>
      <c r="J17" s="40"/>
      <c r="K17" s="40"/>
      <c r="L17" s="40"/>
      <c r="M17" s="40"/>
      <c r="N17" s="40"/>
      <c r="O17" s="80">
        <f t="shared" si="0"/>
        <v>1</v>
      </c>
    </row>
    <row r="18" spans="1:15" s="39" customFormat="1">
      <c r="A18" s="31" t="s">
        <v>931</v>
      </c>
      <c r="B18" s="31" t="s">
        <v>932</v>
      </c>
      <c r="C18" s="43">
        <v>1</v>
      </c>
      <c r="D18" s="40"/>
      <c r="E18" s="40"/>
      <c r="F18" s="40"/>
      <c r="G18" s="43">
        <v>1</v>
      </c>
      <c r="H18" s="40"/>
      <c r="I18" s="40"/>
      <c r="J18" s="40"/>
      <c r="K18" s="40"/>
      <c r="L18" s="40"/>
      <c r="M18" s="40"/>
      <c r="N18" s="40"/>
      <c r="O18" s="80">
        <f t="shared" si="0"/>
        <v>2</v>
      </c>
    </row>
    <row r="19" spans="1:15">
      <c r="A19" s="31" t="s">
        <v>1032</v>
      </c>
      <c r="B19" s="31" t="s">
        <v>1033</v>
      </c>
      <c r="C19" s="41">
        <v>1</v>
      </c>
      <c r="D19" s="30"/>
      <c r="E19" s="30"/>
      <c r="F19" s="30"/>
      <c r="G19" s="41"/>
      <c r="H19" s="30"/>
      <c r="I19" s="30"/>
      <c r="J19" s="30"/>
      <c r="K19" s="30"/>
      <c r="L19" s="30"/>
      <c r="M19" s="30"/>
      <c r="N19" s="30"/>
      <c r="O19" s="80">
        <f t="shared" si="0"/>
        <v>1</v>
      </c>
    </row>
    <row r="20" spans="1:15">
      <c r="A20" s="31" t="s">
        <v>933</v>
      </c>
      <c r="B20" s="34" t="s">
        <v>934</v>
      </c>
      <c r="C20" s="41"/>
      <c r="D20" s="30"/>
      <c r="E20" s="30"/>
      <c r="F20" s="30"/>
      <c r="G20" s="41"/>
      <c r="H20" s="30"/>
      <c r="I20" s="30"/>
      <c r="J20" s="30">
        <v>1</v>
      </c>
      <c r="K20" s="30"/>
      <c r="L20" s="30"/>
      <c r="M20" s="30"/>
      <c r="N20" s="30"/>
      <c r="O20" s="80">
        <f t="shared" si="0"/>
        <v>1</v>
      </c>
    </row>
    <row r="21" spans="1:15">
      <c r="A21" s="31" t="s">
        <v>1034</v>
      </c>
      <c r="B21" s="31" t="s">
        <v>1035</v>
      </c>
      <c r="C21" s="41"/>
      <c r="D21" s="30"/>
      <c r="E21" s="30"/>
      <c r="F21" s="30"/>
      <c r="G21" s="41"/>
      <c r="H21" s="30"/>
      <c r="I21" s="30"/>
      <c r="J21" s="30"/>
      <c r="K21" s="30"/>
      <c r="L21" s="30"/>
      <c r="M21" s="30"/>
      <c r="N21" s="30"/>
      <c r="O21" s="80">
        <f t="shared" si="0"/>
        <v>0</v>
      </c>
    </row>
    <row r="22" spans="1:15">
      <c r="A22" s="31" t="s">
        <v>935</v>
      </c>
      <c r="B22" s="31" t="s">
        <v>936</v>
      </c>
      <c r="C22" s="41"/>
      <c r="D22" s="30"/>
      <c r="E22" s="30"/>
      <c r="F22" s="30"/>
      <c r="G22" s="41"/>
      <c r="H22" s="30"/>
      <c r="I22" s="30"/>
      <c r="J22" s="30"/>
      <c r="K22" s="30"/>
      <c r="L22" s="30"/>
      <c r="M22" s="30"/>
      <c r="N22" s="30"/>
      <c r="O22" s="80">
        <f t="shared" si="0"/>
        <v>0</v>
      </c>
    </row>
    <row r="23" spans="1:15">
      <c r="A23" s="31" t="s">
        <v>1036</v>
      </c>
      <c r="B23" s="31" t="s">
        <v>1037</v>
      </c>
      <c r="C23" s="41">
        <v>1</v>
      </c>
      <c r="D23" s="30">
        <v>1</v>
      </c>
      <c r="E23" s="30"/>
      <c r="F23" s="30"/>
      <c r="G23" s="41"/>
      <c r="H23" s="30"/>
      <c r="I23" s="30"/>
      <c r="J23" s="30">
        <v>1</v>
      </c>
      <c r="K23" s="30"/>
      <c r="L23" s="30"/>
      <c r="M23" s="30"/>
      <c r="N23" s="30"/>
      <c r="O23" s="80">
        <f t="shared" si="0"/>
        <v>3</v>
      </c>
    </row>
    <row r="24" spans="1:15">
      <c r="A24" s="31" t="s">
        <v>937</v>
      </c>
      <c r="B24" s="31" t="s">
        <v>938</v>
      </c>
      <c r="C24" s="41"/>
      <c r="D24" s="30"/>
      <c r="E24" s="30"/>
      <c r="F24" s="30">
        <v>1</v>
      </c>
      <c r="G24" s="41"/>
      <c r="H24" s="30">
        <v>1</v>
      </c>
      <c r="I24" s="30"/>
      <c r="J24" s="30"/>
      <c r="K24" s="30"/>
      <c r="L24" s="30"/>
      <c r="M24" s="30"/>
      <c r="N24" s="30"/>
      <c r="O24" s="80">
        <f t="shared" si="0"/>
        <v>2</v>
      </c>
    </row>
    <row r="25" spans="1:15">
      <c r="A25" s="31" t="s">
        <v>1038</v>
      </c>
      <c r="B25" s="31" t="s">
        <v>1039</v>
      </c>
      <c r="C25" s="41">
        <v>1</v>
      </c>
      <c r="D25" s="30"/>
      <c r="E25" s="30"/>
      <c r="F25" s="30"/>
      <c r="G25" s="41"/>
      <c r="H25" s="30">
        <v>1</v>
      </c>
      <c r="I25" s="30"/>
      <c r="J25" s="30"/>
      <c r="K25" s="30"/>
      <c r="L25" s="30"/>
      <c r="M25" s="30"/>
      <c r="N25" s="30"/>
      <c r="O25" s="80">
        <f t="shared" si="0"/>
        <v>2</v>
      </c>
    </row>
    <row r="26" spans="1:15">
      <c r="A26" s="31" t="s">
        <v>939</v>
      </c>
      <c r="B26" s="31" t="s">
        <v>940</v>
      </c>
      <c r="C26" s="41">
        <v>1</v>
      </c>
      <c r="D26" s="30"/>
      <c r="E26" s="30"/>
      <c r="F26" s="30"/>
      <c r="G26" s="41"/>
      <c r="H26" s="30"/>
      <c r="I26" s="30"/>
      <c r="J26" s="30">
        <v>1</v>
      </c>
      <c r="K26" s="30"/>
      <c r="L26" s="30"/>
      <c r="M26" s="30"/>
      <c r="N26" s="30"/>
      <c r="O26" s="80">
        <f t="shared" si="0"/>
        <v>2</v>
      </c>
    </row>
    <row r="27" spans="1:15">
      <c r="A27" s="31" t="s">
        <v>1040</v>
      </c>
      <c r="B27" s="31" t="s">
        <v>1041</v>
      </c>
      <c r="C27" s="41">
        <v>1</v>
      </c>
      <c r="D27" s="30">
        <v>1</v>
      </c>
      <c r="E27" s="30"/>
      <c r="F27" s="30"/>
      <c r="G27" s="41">
        <v>1</v>
      </c>
      <c r="H27" s="30">
        <v>1</v>
      </c>
      <c r="I27" s="30"/>
      <c r="J27" s="30"/>
      <c r="K27" s="30"/>
      <c r="L27" s="30"/>
      <c r="M27" s="30"/>
      <c r="N27" s="30"/>
      <c r="O27" s="80">
        <f t="shared" si="0"/>
        <v>4</v>
      </c>
    </row>
    <row r="28" spans="1:15">
      <c r="A28" s="34" t="s">
        <v>941</v>
      </c>
      <c r="B28" s="34" t="s">
        <v>942</v>
      </c>
      <c r="C28" s="41"/>
      <c r="D28" s="30"/>
      <c r="E28" s="30"/>
      <c r="F28" s="30"/>
      <c r="G28" s="41"/>
      <c r="H28" s="30"/>
      <c r="I28" s="30"/>
      <c r="J28" s="30"/>
      <c r="K28" s="30"/>
      <c r="L28" s="30"/>
      <c r="M28" s="30"/>
      <c r="N28" s="30"/>
      <c r="O28" s="80">
        <f t="shared" si="0"/>
        <v>0</v>
      </c>
    </row>
    <row r="29" spans="1:15">
      <c r="A29" s="31" t="s">
        <v>1042</v>
      </c>
      <c r="B29" s="31" t="s">
        <v>1043</v>
      </c>
      <c r="C29" s="41">
        <v>1</v>
      </c>
      <c r="D29" s="30">
        <v>1</v>
      </c>
      <c r="E29" s="30">
        <v>1</v>
      </c>
      <c r="F29" s="30"/>
      <c r="G29" s="41"/>
      <c r="H29" s="30"/>
      <c r="I29" s="30"/>
      <c r="J29" s="30"/>
      <c r="K29" s="30"/>
      <c r="L29" s="30"/>
      <c r="M29" s="30"/>
      <c r="N29" s="30"/>
      <c r="O29" s="80">
        <f t="shared" si="0"/>
        <v>3</v>
      </c>
    </row>
    <row r="30" spans="1:15">
      <c r="A30" s="31" t="s">
        <v>943</v>
      </c>
      <c r="B30" s="31" t="s">
        <v>944</v>
      </c>
      <c r="C30" s="41"/>
      <c r="D30" s="30"/>
      <c r="E30" s="30"/>
      <c r="F30" s="30"/>
      <c r="G30" s="41"/>
      <c r="H30" s="30"/>
      <c r="I30" s="30"/>
      <c r="J30" s="30">
        <v>1</v>
      </c>
      <c r="K30" s="30"/>
      <c r="L30" s="30"/>
      <c r="M30" s="30"/>
      <c r="N30" s="30"/>
      <c r="O30" s="80">
        <f t="shared" si="0"/>
        <v>1</v>
      </c>
    </row>
    <row r="31" spans="1:15">
      <c r="A31" s="31" t="s">
        <v>1044</v>
      </c>
      <c r="B31" s="31" t="s">
        <v>1045</v>
      </c>
      <c r="C31" s="41">
        <v>1</v>
      </c>
      <c r="D31" s="30"/>
      <c r="E31" s="30"/>
      <c r="F31" s="30"/>
      <c r="G31" s="41"/>
      <c r="H31" s="30"/>
      <c r="I31" s="30"/>
      <c r="J31" s="30">
        <v>1</v>
      </c>
      <c r="K31" s="30"/>
      <c r="L31" s="30"/>
      <c r="M31" s="30"/>
      <c r="N31" s="30"/>
      <c r="O31" s="80">
        <f t="shared" si="0"/>
        <v>2</v>
      </c>
    </row>
    <row r="32" spans="1:15">
      <c r="A32" s="31" t="s">
        <v>945</v>
      </c>
      <c r="B32" s="31" t="s">
        <v>946</v>
      </c>
      <c r="C32" s="41">
        <v>1</v>
      </c>
      <c r="D32" s="30"/>
      <c r="E32" s="30"/>
      <c r="F32" s="30"/>
      <c r="G32" s="41"/>
      <c r="H32" s="30"/>
      <c r="I32" s="30"/>
      <c r="J32" s="30">
        <v>1</v>
      </c>
      <c r="K32" s="30"/>
      <c r="L32" s="30"/>
      <c r="M32" s="30"/>
      <c r="N32" s="30"/>
      <c r="O32" s="80">
        <f t="shared" si="0"/>
        <v>2</v>
      </c>
    </row>
    <row r="33" spans="1:15">
      <c r="A33" s="31" t="s">
        <v>1046</v>
      </c>
      <c r="B33" s="31" t="s">
        <v>1047</v>
      </c>
      <c r="C33" s="41">
        <v>1</v>
      </c>
      <c r="D33" s="30"/>
      <c r="E33" s="30"/>
      <c r="F33" s="30"/>
      <c r="G33" s="41"/>
      <c r="H33" s="30"/>
      <c r="I33" s="30"/>
      <c r="J33" s="30"/>
      <c r="K33" s="30"/>
      <c r="L33" s="30"/>
      <c r="M33" s="30"/>
      <c r="N33" s="30"/>
      <c r="O33" s="80">
        <f t="shared" si="0"/>
        <v>1</v>
      </c>
    </row>
    <row r="34" spans="1:15">
      <c r="A34" s="31" t="s">
        <v>947</v>
      </c>
      <c r="B34" s="31" t="s">
        <v>948</v>
      </c>
      <c r="C34" s="41">
        <v>1</v>
      </c>
      <c r="D34" s="30"/>
      <c r="E34" s="30"/>
      <c r="F34" s="30"/>
      <c r="G34" s="41"/>
      <c r="H34" s="30"/>
      <c r="I34" s="30"/>
      <c r="J34" s="30"/>
      <c r="K34" s="30"/>
      <c r="L34" s="30"/>
      <c r="M34" s="30"/>
      <c r="N34" s="30"/>
      <c r="O34" s="80">
        <f t="shared" si="0"/>
        <v>1</v>
      </c>
    </row>
    <row r="35" spans="1:15">
      <c r="A35" s="31" t="s">
        <v>1048</v>
      </c>
      <c r="B35" s="31" t="s">
        <v>1049</v>
      </c>
      <c r="C35" s="41"/>
      <c r="D35" s="30"/>
      <c r="E35" s="30"/>
      <c r="F35" s="30"/>
      <c r="G35" s="41"/>
      <c r="H35" s="30"/>
      <c r="I35" s="30"/>
      <c r="J35" s="30"/>
      <c r="K35" s="30"/>
      <c r="L35" s="30"/>
      <c r="M35" s="30"/>
      <c r="N35" s="30"/>
      <c r="O35" s="80">
        <f t="shared" si="0"/>
        <v>0</v>
      </c>
    </row>
    <row r="36" spans="1:15">
      <c r="A36" s="31" t="s">
        <v>949</v>
      </c>
      <c r="B36" s="31" t="s">
        <v>950</v>
      </c>
      <c r="C36" s="41"/>
      <c r="D36" s="30"/>
      <c r="E36" s="30"/>
      <c r="F36" s="30"/>
      <c r="G36" s="41"/>
      <c r="H36" s="30"/>
      <c r="I36" s="30"/>
      <c r="J36" s="30"/>
      <c r="K36" s="30"/>
      <c r="L36" s="30"/>
      <c r="M36" s="30"/>
      <c r="N36" s="30"/>
      <c r="O36" s="80">
        <f t="shared" si="0"/>
        <v>0</v>
      </c>
    </row>
    <row r="37" spans="1:15">
      <c r="A37" s="31" t="s">
        <v>1050</v>
      </c>
      <c r="B37" s="31" t="s">
        <v>1051</v>
      </c>
      <c r="C37" s="41"/>
      <c r="D37" s="30"/>
      <c r="E37" s="30"/>
      <c r="F37" s="30"/>
      <c r="G37" s="41"/>
      <c r="H37" s="30">
        <v>1</v>
      </c>
      <c r="I37" s="30"/>
      <c r="J37" s="30"/>
      <c r="K37" s="30"/>
      <c r="L37" s="30">
        <v>1</v>
      </c>
      <c r="M37" s="30" t="s">
        <v>1491</v>
      </c>
      <c r="N37" s="30"/>
      <c r="O37" s="80">
        <f t="shared" si="0"/>
        <v>2</v>
      </c>
    </row>
    <row r="38" spans="1:15">
      <c r="A38" s="31" t="s">
        <v>951</v>
      </c>
      <c r="B38" s="31" t="s">
        <v>952</v>
      </c>
      <c r="C38" s="41">
        <v>1</v>
      </c>
      <c r="D38" s="30"/>
      <c r="E38" s="30"/>
      <c r="F38" s="30"/>
      <c r="G38" s="41"/>
      <c r="H38" s="30"/>
      <c r="I38" s="30"/>
      <c r="J38" s="30"/>
      <c r="K38" s="30"/>
      <c r="L38" s="30"/>
      <c r="M38" s="30"/>
      <c r="N38" s="30"/>
      <c r="O38" s="80">
        <f t="shared" si="0"/>
        <v>1</v>
      </c>
    </row>
    <row r="39" spans="1:15">
      <c r="A39" s="31" t="s">
        <v>953</v>
      </c>
      <c r="B39" s="31" t="s">
        <v>954</v>
      </c>
      <c r="C39" s="41">
        <v>1</v>
      </c>
      <c r="D39" s="30"/>
      <c r="E39" s="30"/>
      <c r="F39" s="30"/>
      <c r="G39" s="41"/>
      <c r="H39" s="30"/>
      <c r="I39" s="30"/>
      <c r="J39" s="30">
        <v>1</v>
      </c>
      <c r="K39" s="30"/>
      <c r="L39" s="30"/>
      <c r="M39" s="30"/>
      <c r="N39" s="30">
        <v>1</v>
      </c>
      <c r="O39" s="80">
        <f t="shared" si="0"/>
        <v>2</v>
      </c>
    </row>
    <row r="40" spans="1:15">
      <c r="A40" s="31" t="s">
        <v>1052</v>
      </c>
      <c r="B40" s="31" t="s">
        <v>1053</v>
      </c>
      <c r="C40" s="41">
        <v>1</v>
      </c>
      <c r="D40" s="30"/>
      <c r="E40" s="30"/>
      <c r="F40" s="30"/>
      <c r="G40" s="41"/>
      <c r="H40" s="30"/>
      <c r="I40" s="30"/>
      <c r="J40" s="30"/>
      <c r="K40" s="30"/>
      <c r="L40" s="30"/>
      <c r="M40" s="30"/>
      <c r="N40" s="30"/>
      <c r="O40" s="80">
        <f t="shared" si="0"/>
        <v>1</v>
      </c>
    </row>
    <row r="41" spans="1:15">
      <c r="A41" s="31" t="s">
        <v>1054</v>
      </c>
      <c r="B41" s="31" t="s">
        <v>1055</v>
      </c>
      <c r="C41" s="41">
        <v>1</v>
      </c>
      <c r="D41" s="30">
        <v>1</v>
      </c>
      <c r="E41" s="30"/>
      <c r="F41" s="30">
        <v>1</v>
      </c>
      <c r="G41" s="41"/>
      <c r="H41" s="30"/>
      <c r="I41" s="30"/>
      <c r="J41" s="30"/>
      <c r="K41" s="30"/>
      <c r="L41" s="30"/>
      <c r="M41" s="30"/>
      <c r="N41" s="30"/>
      <c r="O41" s="80">
        <f t="shared" si="0"/>
        <v>3</v>
      </c>
    </row>
    <row r="42" spans="1:15">
      <c r="A42" s="31" t="s">
        <v>955</v>
      </c>
      <c r="B42" s="31" t="s">
        <v>956</v>
      </c>
      <c r="C42" s="41"/>
      <c r="D42" s="30">
        <v>1</v>
      </c>
      <c r="E42" s="30"/>
      <c r="F42" s="30">
        <v>1</v>
      </c>
      <c r="G42" s="41"/>
      <c r="H42" s="30"/>
      <c r="I42" s="30"/>
      <c r="J42" s="30"/>
      <c r="K42" s="30"/>
      <c r="L42" s="30"/>
      <c r="M42" s="30"/>
      <c r="N42" s="30"/>
      <c r="O42" s="80">
        <f t="shared" si="0"/>
        <v>2</v>
      </c>
    </row>
    <row r="43" spans="1:15">
      <c r="A43" s="31" t="s">
        <v>1056</v>
      </c>
      <c r="B43" s="31" t="s">
        <v>1057</v>
      </c>
      <c r="C43" s="41"/>
      <c r="D43" s="30"/>
      <c r="E43" s="30"/>
      <c r="F43" s="30"/>
      <c r="G43" s="41"/>
      <c r="H43" s="30">
        <v>1</v>
      </c>
      <c r="I43" s="30"/>
      <c r="J43" s="30"/>
      <c r="K43" s="30"/>
      <c r="L43" s="30"/>
      <c r="M43" s="30"/>
      <c r="N43" s="30"/>
      <c r="O43" s="80">
        <f t="shared" si="0"/>
        <v>1</v>
      </c>
    </row>
    <row r="44" spans="1:15">
      <c r="A44" s="31" t="s">
        <v>957</v>
      </c>
      <c r="B44" s="31" t="s">
        <v>1122</v>
      </c>
      <c r="C44" s="41">
        <v>1</v>
      </c>
      <c r="D44" s="30"/>
      <c r="E44" s="30"/>
      <c r="F44" s="30"/>
      <c r="G44" s="41"/>
      <c r="H44" s="30"/>
      <c r="I44" s="30"/>
      <c r="J44" s="30">
        <v>1</v>
      </c>
      <c r="K44" s="30"/>
      <c r="L44" s="30"/>
      <c r="M44" s="30"/>
      <c r="N44" s="30"/>
      <c r="O44" s="80">
        <f t="shared" si="0"/>
        <v>2</v>
      </c>
    </row>
    <row r="45" spans="1:15">
      <c r="A45" s="31" t="s">
        <v>1058</v>
      </c>
      <c r="B45" s="31" t="s">
        <v>1115</v>
      </c>
      <c r="C45" s="41">
        <v>1</v>
      </c>
      <c r="D45" s="30"/>
      <c r="E45" s="30"/>
      <c r="F45" s="30"/>
      <c r="G45" s="41"/>
      <c r="H45" s="30"/>
      <c r="I45" s="30"/>
      <c r="J45" s="30">
        <v>1</v>
      </c>
      <c r="K45" s="30"/>
      <c r="L45" s="30"/>
      <c r="M45" s="30"/>
      <c r="N45" s="30"/>
      <c r="O45" s="80">
        <f t="shared" si="0"/>
        <v>2</v>
      </c>
    </row>
    <row r="46" spans="1:15">
      <c r="A46" s="31" t="s">
        <v>958</v>
      </c>
      <c r="B46" s="31" t="s">
        <v>959</v>
      </c>
      <c r="C46" s="41"/>
      <c r="D46" s="30"/>
      <c r="E46" s="30"/>
      <c r="F46" s="30"/>
      <c r="G46" s="41"/>
      <c r="H46" s="30"/>
      <c r="I46" s="30"/>
      <c r="J46" s="30">
        <v>1</v>
      </c>
      <c r="K46" s="30"/>
      <c r="L46" s="30"/>
      <c r="M46" s="30"/>
      <c r="N46" s="30"/>
      <c r="O46" s="80">
        <f t="shared" si="0"/>
        <v>1</v>
      </c>
    </row>
    <row r="47" spans="1:15">
      <c r="A47" s="31" t="s">
        <v>1059</v>
      </c>
      <c r="B47" s="31" t="s">
        <v>1060</v>
      </c>
      <c r="C47" s="41">
        <v>1</v>
      </c>
      <c r="D47" s="30"/>
      <c r="E47" s="30"/>
      <c r="F47" s="30"/>
      <c r="G47" s="41"/>
      <c r="H47" s="30"/>
      <c r="I47" s="30"/>
      <c r="J47" s="30">
        <v>1</v>
      </c>
      <c r="K47" s="30"/>
      <c r="L47" s="30"/>
      <c r="M47" s="30"/>
      <c r="N47" s="30"/>
      <c r="O47" s="80">
        <f t="shared" si="0"/>
        <v>2</v>
      </c>
    </row>
    <row r="48" spans="1:15">
      <c r="A48" s="31" t="s">
        <v>960</v>
      </c>
      <c r="B48" s="31" t="s">
        <v>961</v>
      </c>
      <c r="C48" s="41"/>
      <c r="D48" s="30"/>
      <c r="E48" s="30"/>
      <c r="F48" s="30"/>
      <c r="G48" s="41"/>
      <c r="H48" s="30"/>
      <c r="I48" s="30"/>
      <c r="J48" s="30"/>
      <c r="K48" s="30"/>
      <c r="L48" s="30"/>
      <c r="M48" s="30"/>
      <c r="N48" s="30"/>
      <c r="O48" s="80">
        <f t="shared" si="0"/>
        <v>0</v>
      </c>
    </row>
    <row r="49" spans="1:15">
      <c r="A49" s="31" t="s">
        <v>1061</v>
      </c>
      <c r="B49" s="31" t="s">
        <v>1062</v>
      </c>
      <c r="C49" s="41">
        <v>1</v>
      </c>
      <c r="D49" s="30"/>
      <c r="E49" s="30"/>
      <c r="F49" s="30"/>
      <c r="G49" s="41"/>
      <c r="H49" s="30"/>
      <c r="I49" s="30"/>
      <c r="J49" s="30">
        <v>1</v>
      </c>
      <c r="K49" s="30"/>
      <c r="L49" s="30"/>
      <c r="M49" s="30"/>
      <c r="N49" s="30"/>
      <c r="O49" s="80">
        <f t="shared" si="0"/>
        <v>2</v>
      </c>
    </row>
    <row r="50" spans="1:15">
      <c r="A50" s="31" t="s">
        <v>962</v>
      </c>
      <c r="B50" s="31" t="s">
        <v>963</v>
      </c>
      <c r="C50" s="41"/>
      <c r="D50" s="30"/>
      <c r="E50" s="30"/>
      <c r="F50" s="30"/>
      <c r="G50" s="41"/>
      <c r="H50" s="30"/>
      <c r="I50" s="30"/>
      <c r="J50" s="30">
        <v>1</v>
      </c>
      <c r="K50" s="30"/>
      <c r="L50" s="30"/>
      <c r="M50" s="30"/>
      <c r="N50" s="30"/>
      <c r="O50" s="80">
        <f t="shared" si="0"/>
        <v>1</v>
      </c>
    </row>
    <row r="51" spans="1:15">
      <c r="A51" s="31" t="s">
        <v>1063</v>
      </c>
      <c r="B51" s="31" t="s">
        <v>1064</v>
      </c>
      <c r="C51" s="41">
        <v>1</v>
      </c>
      <c r="D51" s="30"/>
      <c r="E51" s="30"/>
      <c r="F51" s="30"/>
      <c r="G51" s="41"/>
      <c r="H51" s="30"/>
      <c r="I51" s="30"/>
      <c r="J51" s="30">
        <v>1</v>
      </c>
      <c r="K51" s="30"/>
      <c r="L51" s="30">
        <v>1</v>
      </c>
      <c r="M51" s="30" t="s">
        <v>914</v>
      </c>
      <c r="N51" s="30"/>
      <c r="O51" s="80">
        <f t="shared" si="0"/>
        <v>3</v>
      </c>
    </row>
    <row r="52" spans="1:15">
      <c r="A52" s="31" t="s">
        <v>964</v>
      </c>
      <c r="B52" s="31" t="s">
        <v>965</v>
      </c>
      <c r="C52" s="41"/>
      <c r="D52" s="30"/>
      <c r="E52" s="30"/>
      <c r="F52" s="30"/>
      <c r="G52" s="41"/>
      <c r="H52" s="30"/>
      <c r="I52" s="30"/>
      <c r="J52" s="30"/>
      <c r="K52" s="30"/>
      <c r="L52" s="30"/>
      <c r="M52" s="30"/>
      <c r="N52" s="30"/>
      <c r="O52" s="80">
        <f t="shared" si="0"/>
        <v>0</v>
      </c>
    </row>
    <row r="53" spans="1:15">
      <c r="A53" s="31" t="s">
        <v>1065</v>
      </c>
      <c r="B53" s="31" t="s">
        <v>1066</v>
      </c>
      <c r="C53" s="41">
        <v>1</v>
      </c>
      <c r="D53" s="30">
        <v>1</v>
      </c>
      <c r="E53" s="30"/>
      <c r="F53" s="30"/>
      <c r="G53" s="41"/>
      <c r="H53" s="30">
        <v>1</v>
      </c>
      <c r="I53" s="30"/>
      <c r="J53" s="30"/>
      <c r="K53" s="30"/>
      <c r="L53" s="30"/>
      <c r="M53" s="30"/>
      <c r="N53" s="30"/>
      <c r="O53" s="80">
        <f t="shared" si="0"/>
        <v>3</v>
      </c>
    </row>
    <row r="54" spans="1:15">
      <c r="A54" s="31" t="s">
        <v>966</v>
      </c>
      <c r="B54" s="31" t="s">
        <v>967</v>
      </c>
      <c r="C54" s="41"/>
      <c r="D54" s="30"/>
      <c r="E54" s="30"/>
      <c r="F54" s="30"/>
      <c r="G54" s="41"/>
      <c r="H54" s="30"/>
      <c r="I54" s="30"/>
      <c r="J54" s="30"/>
      <c r="K54" s="30"/>
      <c r="L54" s="30"/>
      <c r="M54" s="30"/>
      <c r="N54" s="30"/>
      <c r="O54" s="80">
        <f t="shared" si="0"/>
        <v>0</v>
      </c>
    </row>
    <row r="55" spans="1:15">
      <c r="A55" s="31" t="s">
        <v>968</v>
      </c>
      <c r="B55" s="31" t="s">
        <v>969</v>
      </c>
      <c r="C55" s="41">
        <v>1</v>
      </c>
      <c r="D55" s="30"/>
      <c r="E55" s="30"/>
      <c r="F55" s="30"/>
      <c r="G55" s="41"/>
      <c r="H55" s="30"/>
      <c r="I55" s="30"/>
      <c r="J55" s="30"/>
      <c r="K55" s="30"/>
      <c r="L55" s="30"/>
      <c r="M55" s="30"/>
      <c r="N55" s="30"/>
      <c r="O55" s="80">
        <f t="shared" si="0"/>
        <v>1</v>
      </c>
    </row>
    <row r="56" spans="1:15">
      <c r="A56" s="31" t="s">
        <v>1067</v>
      </c>
      <c r="B56" s="31" t="s">
        <v>1068</v>
      </c>
      <c r="C56" s="41">
        <v>1</v>
      </c>
      <c r="D56" s="30">
        <v>1</v>
      </c>
      <c r="E56" s="30"/>
      <c r="F56" s="30"/>
      <c r="G56" s="41"/>
      <c r="H56" s="30">
        <v>1</v>
      </c>
      <c r="I56" s="30"/>
      <c r="J56" s="30"/>
      <c r="K56" s="30"/>
      <c r="L56" s="30"/>
      <c r="M56" s="30"/>
      <c r="N56" s="30"/>
      <c r="O56" s="80">
        <f t="shared" si="0"/>
        <v>3</v>
      </c>
    </row>
    <row r="57" spans="1:15">
      <c r="A57" s="31" t="s">
        <v>970</v>
      </c>
      <c r="B57" s="31" t="s">
        <v>971</v>
      </c>
      <c r="C57" s="41">
        <v>1</v>
      </c>
      <c r="D57" s="30"/>
      <c r="E57" s="30"/>
      <c r="F57" s="30"/>
      <c r="G57" s="41"/>
      <c r="H57" s="30"/>
      <c r="I57" s="30"/>
      <c r="J57" s="30"/>
      <c r="K57" s="30"/>
      <c r="L57" s="30"/>
      <c r="M57" s="30"/>
      <c r="N57" s="30"/>
      <c r="O57" s="80">
        <f t="shared" si="0"/>
        <v>1</v>
      </c>
    </row>
    <row r="58" spans="1:15">
      <c r="A58" s="31" t="s">
        <v>1069</v>
      </c>
      <c r="B58" s="31" t="s">
        <v>1070</v>
      </c>
      <c r="C58" s="41"/>
      <c r="D58" s="30"/>
      <c r="E58" s="30"/>
      <c r="F58" s="30"/>
      <c r="G58" s="41"/>
      <c r="H58" s="30"/>
      <c r="I58" s="30"/>
      <c r="J58" s="30"/>
      <c r="K58" s="30"/>
      <c r="L58" s="30"/>
      <c r="M58" s="30"/>
      <c r="N58" s="30"/>
      <c r="O58" s="80">
        <f t="shared" si="0"/>
        <v>0</v>
      </c>
    </row>
    <row r="59" spans="1:15">
      <c r="A59" s="31" t="s">
        <v>972</v>
      </c>
      <c r="B59" s="31" t="s">
        <v>973</v>
      </c>
      <c r="C59" s="41"/>
      <c r="D59" s="30"/>
      <c r="E59" s="30"/>
      <c r="F59" s="30"/>
      <c r="G59" s="41"/>
      <c r="H59" s="30"/>
      <c r="I59" s="30"/>
      <c r="J59" s="30">
        <v>1</v>
      </c>
      <c r="K59" s="30"/>
      <c r="L59" s="30"/>
      <c r="M59" s="30"/>
      <c r="N59" s="30"/>
      <c r="O59" s="80">
        <f t="shared" si="0"/>
        <v>1</v>
      </c>
    </row>
    <row r="60" spans="1:15">
      <c r="A60" s="31" t="s">
        <v>1071</v>
      </c>
      <c r="B60" s="31" t="s">
        <v>1072</v>
      </c>
      <c r="C60" s="41">
        <v>1</v>
      </c>
      <c r="D60" s="30"/>
      <c r="E60" s="30"/>
      <c r="F60" s="30"/>
      <c r="G60" s="41"/>
      <c r="H60" s="30"/>
      <c r="I60" s="30"/>
      <c r="J60" s="30">
        <v>1</v>
      </c>
      <c r="K60" s="30"/>
      <c r="L60" s="30"/>
      <c r="M60" s="30"/>
      <c r="N60" s="30"/>
      <c r="O60" s="80">
        <f t="shared" si="0"/>
        <v>2</v>
      </c>
    </row>
    <row r="61" spans="1:15">
      <c r="A61" s="31" t="s">
        <v>974</v>
      </c>
      <c r="B61" s="31" t="s">
        <v>975</v>
      </c>
      <c r="C61" s="41"/>
      <c r="D61" s="30"/>
      <c r="E61" s="30"/>
      <c r="F61" s="30"/>
      <c r="G61" s="41"/>
      <c r="H61" s="30"/>
      <c r="I61" s="30"/>
      <c r="J61" s="30"/>
      <c r="K61" s="30"/>
      <c r="L61" s="30">
        <v>1</v>
      </c>
      <c r="M61" s="30"/>
      <c r="N61" s="30"/>
      <c r="O61" s="80">
        <f t="shared" si="0"/>
        <v>1</v>
      </c>
    </row>
    <row r="62" spans="1:15">
      <c r="A62" s="31" t="s">
        <v>1073</v>
      </c>
      <c r="B62" s="31" t="s">
        <v>1074</v>
      </c>
      <c r="C62" s="41">
        <v>1</v>
      </c>
      <c r="D62" s="30"/>
      <c r="E62" s="30"/>
      <c r="F62" s="30"/>
      <c r="G62" s="41"/>
      <c r="H62" s="30"/>
      <c r="I62" s="30"/>
      <c r="J62" s="30">
        <v>1</v>
      </c>
      <c r="K62" s="30"/>
      <c r="L62" s="30">
        <v>1</v>
      </c>
      <c r="M62" s="30"/>
      <c r="N62" s="30"/>
      <c r="O62" s="80">
        <f t="shared" si="0"/>
        <v>3</v>
      </c>
    </row>
    <row r="63" spans="1:15">
      <c r="A63" s="31" t="s">
        <v>976</v>
      </c>
      <c r="B63" s="31" t="s">
        <v>977</v>
      </c>
      <c r="C63" s="41"/>
      <c r="D63" s="30"/>
      <c r="E63" s="30"/>
      <c r="F63" s="30"/>
      <c r="G63" s="41"/>
      <c r="H63" s="30"/>
      <c r="I63" s="30"/>
      <c r="J63" s="30"/>
      <c r="K63" s="30"/>
      <c r="L63" s="30"/>
      <c r="M63" s="30"/>
      <c r="N63" s="30"/>
      <c r="O63" s="80">
        <f t="shared" si="0"/>
        <v>0</v>
      </c>
    </row>
    <row r="64" spans="1:15">
      <c r="A64" s="31" t="s">
        <v>1075</v>
      </c>
      <c r="B64" s="31" t="s">
        <v>1076</v>
      </c>
      <c r="C64" s="41">
        <v>1</v>
      </c>
      <c r="D64" s="30"/>
      <c r="E64" s="30"/>
      <c r="F64" s="30"/>
      <c r="G64" s="41"/>
      <c r="H64" s="30"/>
      <c r="I64" s="30"/>
      <c r="J64" s="30"/>
      <c r="K64" s="30"/>
      <c r="L64" s="30"/>
      <c r="M64" s="30"/>
      <c r="N64" s="30"/>
      <c r="O64" s="80">
        <f t="shared" si="0"/>
        <v>1</v>
      </c>
    </row>
    <row r="65" spans="1:15">
      <c r="A65" s="31" t="s">
        <v>978</v>
      </c>
      <c r="B65" s="31" t="s">
        <v>979</v>
      </c>
      <c r="C65" s="41">
        <v>1</v>
      </c>
      <c r="D65" s="30"/>
      <c r="E65" s="30"/>
      <c r="F65" s="30"/>
      <c r="G65" s="41"/>
      <c r="H65" s="30"/>
      <c r="I65" s="30"/>
      <c r="J65" s="30">
        <v>1</v>
      </c>
      <c r="K65" s="30"/>
      <c r="L65" s="30"/>
      <c r="M65" s="30"/>
      <c r="N65" s="30"/>
      <c r="O65" s="80">
        <f t="shared" si="0"/>
        <v>2</v>
      </c>
    </row>
    <row r="66" spans="1:15">
      <c r="A66" s="31" t="s">
        <v>1077</v>
      </c>
      <c r="B66" s="31" t="s">
        <v>1078</v>
      </c>
      <c r="C66" s="41">
        <v>1</v>
      </c>
      <c r="D66" s="30">
        <v>1</v>
      </c>
      <c r="E66" s="30">
        <v>1</v>
      </c>
      <c r="F66" s="30"/>
      <c r="G66" s="41"/>
      <c r="H66" s="30">
        <v>1</v>
      </c>
      <c r="I66" s="30"/>
      <c r="J66" s="30"/>
      <c r="K66" s="30"/>
      <c r="L66" s="30"/>
      <c r="M66" s="30"/>
      <c r="N66" s="30"/>
      <c r="O66" s="80">
        <f t="shared" si="0"/>
        <v>4</v>
      </c>
    </row>
    <row r="67" spans="1:15">
      <c r="A67" s="31" t="s">
        <v>980</v>
      </c>
      <c r="B67" s="31" t="s">
        <v>981</v>
      </c>
      <c r="C67" s="41"/>
      <c r="D67" s="30"/>
      <c r="E67" s="30"/>
      <c r="F67" s="30"/>
      <c r="G67" s="41"/>
      <c r="H67" s="30"/>
      <c r="I67" s="30"/>
      <c r="J67" s="30"/>
      <c r="K67" s="30"/>
      <c r="L67" s="30"/>
      <c r="M67" s="30"/>
      <c r="N67" s="30"/>
      <c r="O67" s="80">
        <f t="shared" si="0"/>
        <v>0</v>
      </c>
    </row>
    <row r="68" spans="1:15">
      <c r="A68" s="31" t="s">
        <v>1079</v>
      </c>
      <c r="B68" s="31" t="s">
        <v>1080</v>
      </c>
      <c r="C68" s="41">
        <v>1</v>
      </c>
      <c r="D68" s="30"/>
      <c r="E68" s="30"/>
      <c r="F68" s="30"/>
      <c r="G68" s="41">
        <v>1</v>
      </c>
      <c r="H68" s="30"/>
      <c r="I68" s="30"/>
      <c r="J68" s="30"/>
      <c r="K68" s="30"/>
      <c r="L68" s="30"/>
      <c r="M68" s="30"/>
      <c r="N68" s="30"/>
      <c r="O68" s="80">
        <f t="shared" ref="O68:O115" si="1">SUM(C68:M68)</f>
        <v>2</v>
      </c>
    </row>
    <row r="69" spans="1:15">
      <c r="A69" s="31" t="s">
        <v>982</v>
      </c>
      <c r="B69" s="31" t="s">
        <v>983</v>
      </c>
      <c r="C69" s="41">
        <v>1</v>
      </c>
      <c r="D69" s="30"/>
      <c r="E69" s="30"/>
      <c r="F69" s="30"/>
      <c r="G69" s="41"/>
      <c r="H69" s="30"/>
      <c r="I69" s="30"/>
      <c r="J69" s="30"/>
      <c r="K69" s="30"/>
      <c r="L69" s="30"/>
      <c r="M69" s="30"/>
      <c r="N69" s="30"/>
      <c r="O69" s="80">
        <f t="shared" si="1"/>
        <v>1</v>
      </c>
    </row>
    <row r="70" spans="1:15">
      <c r="A70" s="31" t="s">
        <v>1081</v>
      </c>
      <c r="B70" s="31" t="s">
        <v>1082</v>
      </c>
      <c r="C70" s="41">
        <v>1</v>
      </c>
      <c r="D70" s="30"/>
      <c r="E70" s="30"/>
      <c r="F70" s="30"/>
      <c r="G70" s="41"/>
      <c r="H70" s="30"/>
      <c r="I70" s="30"/>
      <c r="J70" s="30">
        <v>1</v>
      </c>
      <c r="K70" s="30"/>
      <c r="L70" s="30"/>
      <c r="M70" s="30"/>
      <c r="N70" s="30"/>
      <c r="O70" s="80">
        <f t="shared" si="1"/>
        <v>2</v>
      </c>
    </row>
    <row r="71" spans="1:15">
      <c r="A71" s="31" t="s">
        <v>984</v>
      </c>
      <c r="B71" s="31" t="s">
        <v>985</v>
      </c>
      <c r="C71" s="41">
        <v>1</v>
      </c>
      <c r="D71" s="30"/>
      <c r="E71" s="30"/>
      <c r="F71" s="30"/>
      <c r="G71" s="41"/>
      <c r="H71" s="30"/>
      <c r="I71" s="30"/>
      <c r="J71" s="30"/>
      <c r="K71" s="30"/>
      <c r="L71" s="30"/>
      <c r="M71" s="30"/>
      <c r="N71" s="30"/>
      <c r="O71" s="80">
        <f t="shared" si="1"/>
        <v>1</v>
      </c>
    </row>
    <row r="72" spans="1:15">
      <c r="A72" s="31" t="s">
        <v>1083</v>
      </c>
      <c r="B72" s="31" t="s">
        <v>1084</v>
      </c>
      <c r="C72" s="41">
        <v>1</v>
      </c>
      <c r="D72" s="30"/>
      <c r="E72" s="30">
        <v>1</v>
      </c>
      <c r="F72" s="30">
        <v>1</v>
      </c>
      <c r="G72" s="41"/>
      <c r="H72" s="30">
        <v>1</v>
      </c>
      <c r="I72" s="30"/>
      <c r="J72" s="30"/>
      <c r="K72" s="30"/>
      <c r="L72" s="30"/>
      <c r="M72" s="30"/>
      <c r="N72" s="30"/>
      <c r="O72" s="80">
        <f t="shared" si="1"/>
        <v>4</v>
      </c>
    </row>
    <row r="73" spans="1:15">
      <c r="A73" s="31" t="s">
        <v>986</v>
      </c>
      <c r="B73" s="31" t="s">
        <v>987</v>
      </c>
      <c r="C73" s="41">
        <v>1</v>
      </c>
      <c r="D73" s="30"/>
      <c r="E73" s="30"/>
      <c r="F73" s="30"/>
      <c r="G73" s="41"/>
      <c r="H73" s="30"/>
      <c r="I73" s="30"/>
      <c r="J73" s="30">
        <v>1</v>
      </c>
      <c r="K73" s="30"/>
      <c r="L73" s="30"/>
      <c r="M73" s="30"/>
      <c r="N73" s="30"/>
      <c r="O73" s="80">
        <f t="shared" si="1"/>
        <v>2</v>
      </c>
    </row>
    <row r="74" spans="1:15">
      <c r="A74" s="31" t="s">
        <v>1085</v>
      </c>
      <c r="B74" s="31" t="s">
        <v>1086</v>
      </c>
      <c r="C74" s="41">
        <v>1</v>
      </c>
      <c r="D74" s="30"/>
      <c r="E74" s="30"/>
      <c r="F74" s="30"/>
      <c r="G74" s="41"/>
      <c r="H74" s="30">
        <v>1</v>
      </c>
      <c r="I74" s="30"/>
      <c r="J74" s="30"/>
      <c r="K74" s="30"/>
      <c r="L74" s="30"/>
      <c r="M74" s="30"/>
      <c r="N74" s="30"/>
      <c r="O74" s="80">
        <f t="shared" si="1"/>
        <v>2</v>
      </c>
    </row>
    <row r="75" spans="1:15">
      <c r="A75" s="31" t="s">
        <v>988</v>
      </c>
      <c r="B75" s="31" t="s">
        <v>989</v>
      </c>
      <c r="C75" s="41"/>
      <c r="D75" s="30"/>
      <c r="E75" s="30"/>
      <c r="F75" s="30"/>
      <c r="G75" s="41"/>
      <c r="H75" s="30"/>
      <c r="I75" s="30"/>
      <c r="J75" s="30"/>
      <c r="K75" s="30"/>
      <c r="L75" s="30"/>
      <c r="M75" s="30"/>
      <c r="N75" s="30"/>
      <c r="O75" s="80">
        <f t="shared" si="1"/>
        <v>0</v>
      </c>
    </row>
    <row r="76" spans="1:15">
      <c r="A76" s="31" t="s">
        <v>1087</v>
      </c>
      <c r="B76" s="31" t="s">
        <v>1088</v>
      </c>
      <c r="C76" s="41">
        <v>1</v>
      </c>
      <c r="D76" s="30"/>
      <c r="E76" s="30"/>
      <c r="F76" s="30"/>
      <c r="G76" s="41">
        <v>1</v>
      </c>
      <c r="H76" s="30"/>
      <c r="I76" s="30"/>
      <c r="J76" s="30"/>
      <c r="K76" s="30"/>
      <c r="L76" s="30"/>
      <c r="M76" s="30"/>
      <c r="N76" s="30"/>
      <c r="O76" s="80">
        <f t="shared" si="1"/>
        <v>2</v>
      </c>
    </row>
    <row r="77" spans="1:15">
      <c r="A77" s="31" t="s">
        <v>990</v>
      </c>
      <c r="B77" s="31" t="s">
        <v>991</v>
      </c>
      <c r="C77" s="41">
        <v>1</v>
      </c>
      <c r="D77" s="30"/>
      <c r="E77" s="30"/>
      <c r="F77" s="30"/>
      <c r="G77" s="41"/>
      <c r="H77" s="30"/>
      <c r="I77" s="30"/>
      <c r="J77" s="30"/>
      <c r="K77" s="30"/>
      <c r="L77" s="30">
        <v>1</v>
      </c>
      <c r="M77" s="30" t="s">
        <v>914</v>
      </c>
      <c r="N77" s="30"/>
      <c r="O77" s="80">
        <f t="shared" si="1"/>
        <v>2</v>
      </c>
    </row>
    <row r="78" spans="1:15">
      <c r="A78" s="31" t="s">
        <v>1089</v>
      </c>
      <c r="B78" s="31" t="s">
        <v>1090</v>
      </c>
      <c r="C78" s="41">
        <v>1</v>
      </c>
      <c r="D78" s="30"/>
      <c r="E78" s="30"/>
      <c r="F78" s="30"/>
      <c r="G78" s="41"/>
      <c r="H78" s="30"/>
      <c r="I78" s="30"/>
      <c r="J78" s="30"/>
      <c r="K78" s="30"/>
      <c r="L78" s="30"/>
      <c r="M78" s="30"/>
      <c r="N78" s="30"/>
      <c r="O78" s="80">
        <f t="shared" si="1"/>
        <v>1</v>
      </c>
    </row>
    <row r="79" spans="1:15">
      <c r="A79" s="31" t="s">
        <v>992</v>
      </c>
      <c r="B79" s="31" t="s">
        <v>993</v>
      </c>
      <c r="C79" s="41">
        <v>1</v>
      </c>
      <c r="D79" s="30"/>
      <c r="E79" s="30"/>
      <c r="F79" s="30"/>
      <c r="G79" s="41"/>
      <c r="H79" s="30"/>
      <c r="I79" s="30"/>
      <c r="J79" s="30"/>
      <c r="K79" s="30"/>
      <c r="L79" s="30"/>
      <c r="M79" s="30"/>
      <c r="N79" s="30"/>
      <c r="O79" s="80">
        <f t="shared" si="1"/>
        <v>1</v>
      </c>
    </row>
    <row r="80" spans="1:15">
      <c r="A80" s="31" t="s">
        <v>1091</v>
      </c>
      <c r="B80" s="31" t="s">
        <v>1092</v>
      </c>
      <c r="C80" s="41"/>
      <c r="D80" s="30"/>
      <c r="E80" s="30"/>
      <c r="F80" s="30"/>
      <c r="G80" s="41"/>
      <c r="H80" s="30">
        <v>1</v>
      </c>
      <c r="I80" s="30"/>
      <c r="J80" s="30"/>
      <c r="K80" s="30"/>
      <c r="L80" s="30"/>
      <c r="M80" s="30"/>
      <c r="N80" s="30"/>
      <c r="O80" s="80">
        <f t="shared" si="1"/>
        <v>1</v>
      </c>
    </row>
    <row r="81" spans="1:15">
      <c r="A81" s="31" t="s">
        <v>994</v>
      </c>
      <c r="B81" s="31" t="s">
        <v>995</v>
      </c>
      <c r="C81" s="41">
        <v>1</v>
      </c>
      <c r="D81" s="30"/>
      <c r="E81" s="30"/>
      <c r="F81" s="30"/>
      <c r="G81" s="41"/>
      <c r="H81" s="30"/>
      <c r="I81" s="30"/>
      <c r="J81" s="30"/>
      <c r="K81" s="30"/>
      <c r="L81" s="30"/>
      <c r="M81" s="30"/>
      <c r="N81" s="30"/>
      <c r="O81" s="80">
        <f t="shared" si="1"/>
        <v>1</v>
      </c>
    </row>
    <row r="82" spans="1:15">
      <c r="A82" s="31" t="s">
        <v>1093</v>
      </c>
      <c r="B82" s="31" t="s">
        <v>1094</v>
      </c>
      <c r="C82" s="41">
        <v>1</v>
      </c>
      <c r="D82" s="30">
        <v>1</v>
      </c>
      <c r="E82" s="30"/>
      <c r="F82" s="30"/>
      <c r="G82" s="41"/>
      <c r="H82" s="30"/>
      <c r="I82" s="30"/>
      <c r="J82" s="30"/>
      <c r="K82" s="30"/>
      <c r="L82" s="30"/>
      <c r="M82" s="30"/>
      <c r="N82" s="30"/>
      <c r="O82" s="80">
        <f t="shared" si="1"/>
        <v>2</v>
      </c>
    </row>
    <row r="83" spans="1:15">
      <c r="A83" s="31" t="s">
        <v>996</v>
      </c>
      <c r="B83" s="31" t="s">
        <v>997</v>
      </c>
      <c r="C83" s="41">
        <v>1</v>
      </c>
      <c r="D83" s="30"/>
      <c r="E83" s="30"/>
      <c r="F83" s="30"/>
      <c r="G83" s="41"/>
      <c r="H83" s="30"/>
      <c r="I83" s="30"/>
      <c r="J83" s="30">
        <v>1</v>
      </c>
      <c r="K83" s="30"/>
      <c r="L83" s="30"/>
      <c r="M83" s="30"/>
      <c r="N83" s="30"/>
      <c r="O83" s="80">
        <f t="shared" si="1"/>
        <v>2</v>
      </c>
    </row>
    <row r="84" spans="1:15">
      <c r="A84" s="31" t="s">
        <v>1095</v>
      </c>
      <c r="B84" s="31" t="s">
        <v>1096</v>
      </c>
      <c r="C84" s="41">
        <v>1</v>
      </c>
      <c r="D84" s="30"/>
      <c r="E84" s="30"/>
      <c r="F84" s="30"/>
      <c r="G84" s="41"/>
      <c r="H84" s="30"/>
      <c r="I84" s="30"/>
      <c r="J84" s="30"/>
      <c r="K84" s="30"/>
      <c r="L84" s="30"/>
      <c r="M84" s="30"/>
      <c r="N84" s="30"/>
      <c r="O84" s="80">
        <f t="shared" si="1"/>
        <v>1</v>
      </c>
    </row>
    <row r="85" spans="1:15">
      <c r="A85" s="31" t="s">
        <v>998</v>
      </c>
      <c r="B85" s="31" t="s">
        <v>999</v>
      </c>
      <c r="C85" s="41"/>
      <c r="D85" s="30"/>
      <c r="E85" s="30"/>
      <c r="F85" s="30"/>
      <c r="G85" s="41"/>
      <c r="H85" s="30"/>
      <c r="I85" s="30"/>
      <c r="J85" s="30"/>
      <c r="K85" s="30"/>
      <c r="L85" s="30"/>
      <c r="M85" s="30"/>
      <c r="N85" s="30"/>
      <c r="O85" s="80">
        <f t="shared" si="1"/>
        <v>0</v>
      </c>
    </row>
    <row r="86" spans="1:15">
      <c r="A86" s="31" t="s">
        <v>1097</v>
      </c>
      <c r="B86" s="31" t="s">
        <v>1098</v>
      </c>
      <c r="C86" s="41">
        <v>1</v>
      </c>
      <c r="D86" s="30"/>
      <c r="E86" s="30"/>
      <c r="F86" s="30"/>
      <c r="G86" s="41"/>
      <c r="H86" s="30"/>
      <c r="I86" s="30"/>
      <c r="J86" s="30"/>
      <c r="K86" s="30"/>
      <c r="L86" s="30"/>
      <c r="M86" s="30"/>
      <c r="N86" s="30"/>
      <c r="O86" s="80">
        <f t="shared" si="1"/>
        <v>1</v>
      </c>
    </row>
    <row r="87" spans="1:15">
      <c r="A87" s="31" t="s">
        <v>1000</v>
      </c>
      <c r="B87" s="31" t="s">
        <v>1001</v>
      </c>
      <c r="C87" s="41">
        <v>1</v>
      </c>
      <c r="D87" s="30"/>
      <c r="E87" s="30"/>
      <c r="F87" s="30"/>
      <c r="G87" s="41"/>
      <c r="H87" s="30"/>
      <c r="I87" s="30"/>
      <c r="J87" s="30"/>
      <c r="K87" s="30"/>
      <c r="L87" s="30"/>
      <c r="M87" s="30"/>
      <c r="N87" s="30"/>
      <c r="O87" s="80">
        <f t="shared" si="1"/>
        <v>1</v>
      </c>
    </row>
    <row r="88" spans="1:15">
      <c r="A88" s="31" t="s">
        <v>1099</v>
      </c>
      <c r="B88" s="31" t="s">
        <v>1100</v>
      </c>
      <c r="C88" s="41"/>
      <c r="D88" s="30"/>
      <c r="E88" s="30"/>
      <c r="F88" s="30"/>
      <c r="G88" s="41"/>
      <c r="H88" s="30"/>
      <c r="I88" s="30"/>
      <c r="J88" s="30"/>
      <c r="K88" s="30"/>
      <c r="L88" s="30"/>
      <c r="M88" s="30"/>
      <c r="N88" s="30"/>
      <c r="O88" s="80">
        <f t="shared" si="1"/>
        <v>0</v>
      </c>
    </row>
    <row r="89" spans="1:15">
      <c r="A89" s="31" t="s">
        <v>1002</v>
      </c>
      <c r="B89" s="31" t="s">
        <v>1003</v>
      </c>
      <c r="C89" s="41"/>
      <c r="D89" s="30"/>
      <c r="E89" s="30"/>
      <c r="F89" s="30"/>
      <c r="G89" s="41"/>
      <c r="H89" s="30"/>
      <c r="I89" s="30"/>
      <c r="J89" s="30">
        <v>1</v>
      </c>
      <c r="K89" s="30"/>
      <c r="L89" s="30"/>
      <c r="M89" s="30"/>
      <c r="N89" s="30"/>
      <c r="O89" s="80">
        <f t="shared" si="1"/>
        <v>1</v>
      </c>
    </row>
    <row r="90" spans="1:15">
      <c r="A90" s="31" t="s">
        <v>1101</v>
      </c>
      <c r="B90" s="31" t="s">
        <v>1102</v>
      </c>
      <c r="C90" s="41">
        <v>1</v>
      </c>
      <c r="D90" s="30"/>
      <c r="E90" s="30"/>
      <c r="F90" s="30"/>
      <c r="G90" s="41">
        <v>1</v>
      </c>
      <c r="H90" s="30"/>
      <c r="I90" s="30"/>
      <c r="J90" s="30"/>
      <c r="K90" s="30"/>
      <c r="L90" s="30"/>
      <c r="M90" s="30"/>
      <c r="N90" s="30"/>
      <c r="O90" s="80">
        <f t="shared" si="1"/>
        <v>2</v>
      </c>
    </row>
    <row r="91" spans="1:15">
      <c r="A91" s="31" t="s">
        <v>1004</v>
      </c>
      <c r="B91" s="31" t="s">
        <v>1005</v>
      </c>
      <c r="C91" s="41">
        <v>1</v>
      </c>
      <c r="D91" s="30"/>
      <c r="E91" s="30"/>
      <c r="F91" s="30"/>
      <c r="G91" s="41"/>
      <c r="H91" s="30"/>
      <c r="I91" s="30"/>
      <c r="J91" s="30"/>
      <c r="K91" s="30"/>
      <c r="L91" s="30"/>
      <c r="M91" s="30"/>
      <c r="N91" s="30"/>
      <c r="O91" s="80">
        <f t="shared" si="1"/>
        <v>1</v>
      </c>
    </row>
    <row r="92" spans="1:15">
      <c r="A92" s="31" t="s">
        <v>1103</v>
      </c>
      <c r="B92" s="31" t="s">
        <v>1104</v>
      </c>
      <c r="C92" s="41">
        <v>1</v>
      </c>
      <c r="D92" s="30"/>
      <c r="E92" s="30">
        <v>1</v>
      </c>
      <c r="F92" s="30"/>
      <c r="G92" s="41">
        <v>1</v>
      </c>
      <c r="H92" s="30">
        <v>1</v>
      </c>
      <c r="I92" s="30"/>
      <c r="J92" s="30"/>
      <c r="K92" s="30"/>
      <c r="L92" s="30"/>
      <c r="M92" s="30"/>
      <c r="N92" s="30"/>
      <c r="O92" s="80">
        <f t="shared" si="1"/>
        <v>4</v>
      </c>
    </row>
    <row r="93" spans="1:15">
      <c r="A93" s="31" t="s">
        <v>1006</v>
      </c>
      <c r="B93" s="31" t="s">
        <v>1007</v>
      </c>
      <c r="C93" s="41">
        <v>1</v>
      </c>
      <c r="D93" s="30"/>
      <c r="E93" s="30"/>
      <c r="F93" s="30"/>
      <c r="G93" s="41">
        <v>1</v>
      </c>
      <c r="H93" s="30"/>
      <c r="I93" s="30"/>
      <c r="J93" s="30"/>
      <c r="K93" s="30"/>
      <c r="L93" s="30"/>
      <c r="M93" s="30"/>
      <c r="N93" s="30"/>
      <c r="O93" s="80">
        <f t="shared" si="1"/>
        <v>2</v>
      </c>
    </row>
    <row r="94" spans="1:15">
      <c r="A94" s="31" t="s">
        <v>1105</v>
      </c>
      <c r="B94" s="34" t="s">
        <v>1106</v>
      </c>
      <c r="C94" s="41">
        <v>1</v>
      </c>
      <c r="D94" s="30"/>
      <c r="E94" s="30"/>
      <c r="F94" s="30"/>
      <c r="G94" s="41"/>
      <c r="H94" s="30"/>
      <c r="I94" s="30"/>
      <c r="J94" s="30"/>
      <c r="K94" s="30"/>
      <c r="L94" s="30"/>
      <c r="M94" s="30"/>
      <c r="N94" s="30"/>
      <c r="O94" s="80">
        <f t="shared" si="1"/>
        <v>1</v>
      </c>
    </row>
    <row r="95" spans="1:15">
      <c r="A95" s="31" t="s">
        <v>1008</v>
      </c>
      <c r="B95" s="31" t="s">
        <v>1009</v>
      </c>
      <c r="C95" s="41">
        <v>1</v>
      </c>
      <c r="D95" s="30"/>
      <c r="E95" s="30"/>
      <c r="F95" s="30"/>
      <c r="G95" s="41"/>
      <c r="H95" s="30"/>
      <c r="I95" s="30"/>
      <c r="J95" s="30"/>
      <c r="K95" s="30"/>
      <c r="L95" s="30"/>
      <c r="M95" s="30"/>
      <c r="N95" s="30"/>
      <c r="O95" s="80">
        <f t="shared" si="1"/>
        <v>1</v>
      </c>
    </row>
    <row r="96" spans="1:15">
      <c r="A96" s="31" t="s">
        <v>1107</v>
      </c>
      <c r="B96" s="31" t="s">
        <v>1108</v>
      </c>
      <c r="C96" s="41">
        <v>1</v>
      </c>
      <c r="D96" s="30"/>
      <c r="E96" s="30"/>
      <c r="F96" s="30"/>
      <c r="G96" s="41"/>
      <c r="H96" s="30"/>
      <c r="I96" s="30"/>
      <c r="J96" s="30"/>
      <c r="K96" s="30"/>
      <c r="L96" s="30"/>
      <c r="M96" s="30"/>
      <c r="N96" s="30"/>
      <c r="O96" s="80">
        <f t="shared" si="1"/>
        <v>1</v>
      </c>
    </row>
    <row r="97" spans="1:15">
      <c r="A97" s="31" t="s">
        <v>1010</v>
      </c>
      <c r="B97" s="31" t="s">
        <v>1011</v>
      </c>
      <c r="C97" s="41">
        <v>1</v>
      </c>
      <c r="D97" s="30"/>
      <c r="E97" s="30"/>
      <c r="F97" s="30"/>
      <c r="G97" s="41"/>
      <c r="H97" s="30"/>
      <c r="I97" s="30"/>
      <c r="J97" s="30"/>
      <c r="K97" s="30"/>
      <c r="L97" s="30"/>
      <c r="M97" s="30"/>
      <c r="N97" s="30"/>
      <c r="O97" s="80">
        <f t="shared" si="1"/>
        <v>1</v>
      </c>
    </row>
    <row r="98" spans="1:15">
      <c r="A98" s="31" t="s">
        <v>1109</v>
      </c>
      <c r="B98" s="31" t="s">
        <v>1110</v>
      </c>
      <c r="C98" s="41">
        <v>1</v>
      </c>
      <c r="D98" s="30"/>
      <c r="E98" s="30"/>
      <c r="F98" s="30"/>
      <c r="G98" s="41"/>
      <c r="H98" s="30"/>
      <c r="I98" s="30"/>
      <c r="J98" s="30"/>
      <c r="K98" s="30"/>
      <c r="L98" s="30"/>
      <c r="M98" s="30"/>
      <c r="N98" s="30"/>
      <c r="O98" s="80">
        <f t="shared" si="1"/>
        <v>1</v>
      </c>
    </row>
    <row r="99" spans="1:15">
      <c r="A99" s="31" t="s">
        <v>1012</v>
      </c>
      <c r="B99" s="31" t="s">
        <v>1013</v>
      </c>
      <c r="C99" s="41">
        <v>1</v>
      </c>
      <c r="D99" s="30"/>
      <c r="E99" s="30"/>
      <c r="F99" s="30"/>
      <c r="G99" s="41"/>
      <c r="H99" s="30"/>
      <c r="I99" s="30"/>
      <c r="J99" s="30"/>
      <c r="K99" s="30"/>
      <c r="L99" s="30"/>
      <c r="M99" s="30"/>
      <c r="N99" s="30"/>
      <c r="O99" s="80">
        <f t="shared" si="1"/>
        <v>1</v>
      </c>
    </row>
    <row r="100" spans="1:15">
      <c r="A100" s="31" t="s">
        <v>1111</v>
      </c>
      <c r="B100" s="31" t="s">
        <v>1112</v>
      </c>
      <c r="C100" s="41"/>
      <c r="D100" s="30"/>
      <c r="E100" s="30"/>
      <c r="F100" s="30"/>
      <c r="G100" s="41"/>
      <c r="H100" s="30"/>
      <c r="I100" s="30"/>
      <c r="J100" s="30"/>
      <c r="K100" s="30"/>
      <c r="L100" s="30"/>
      <c r="M100" s="30"/>
      <c r="N100" s="30"/>
      <c r="O100" s="80">
        <f t="shared" si="1"/>
        <v>0</v>
      </c>
    </row>
    <row r="101" spans="1:15">
      <c r="A101" s="31" t="s">
        <v>1014</v>
      </c>
      <c r="B101" s="31" t="s">
        <v>1015</v>
      </c>
      <c r="C101" s="41">
        <v>1</v>
      </c>
      <c r="D101" s="30"/>
      <c r="E101" s="30"/>
      <c r="F101" s="30"/>
      <c r="G101" s="41"/>
      <c r="H101" s="30">
        <v>1</v>
      </c>
      <c r="I101" s="30"/>
      <c r="J101" s="30"/>
      <c r="K101" s="30"/>
      <c r="L101" s="30"/>
      <c r="M101" s="30"/>
      <c r="N101" s="30"/>
      <c r="O101" s="80">
        <f t="shared" si="1"/>
        <v>2</v>
      </c>
    </row>
    <row r="102" spans="1:15">
      <c r="A102" s="31" t="s">
        <v>1016</v>
      </c>
      <c r="B102" s="31" t="s">
        <v>1017</v>
      </c>
      <c r="C102" s="41">
        <v>1</v>
      </c>
      <c r="D102" s="30"/>
      <c r="E102" s="30"/>
      <c r="F102" s="30"/>
      <c r="G102" s="41"/>
      <c r="H102" s="30"/>
      <c r="I102" s="30"/>
      <c r="J102" s="30"/>
      <c r="K102" s="30"/>
      <c r="L102" s="30"/>
      <c r="M102" s="30"/>
      <c r="N102" s="30"/>
      <c r="O102" s="80">
        <f t="shared" si="1"/>
        <v>1</v>
      </c>
    </row>
    <row r="103" spans="1:15">
      <c r="A103" s="31" t="s">
        <v>1113</v>
      </c>
      <c r="B103" s="31" t="s">
        <v>1114</v>
      </c>
      <c r="C103" s="41"/>
      <c r="D103" s="30">
        <v>1</v>
      </c>
      <c r="E103" s="30"/>
      <c r="F103" s="30"/>
      <c r="G103" s="41"/>
      <c r="H103" s="30"/>
      <c r="I103" s="30"/>
      <c r="J103" s="30"/>
      <c r="K103" s="30"/>
      <c r="L103" s="30"/>
      <c r="M103" s="30"/>
      <c r="N103" s="30"/>
      <c r="O103" s="80">
        <f t="shared" si="1"/>
        <v>1</v>
      </c>
    </row>
    <row r="104" spans="1:15">
      <c r="A104" s="34" t="s">
        <v>1018</v>
      </c>
      <c r="B104" s="34" t="s">
        <v>1019</v>
      </c>
      <c r="C104" s="41">
        <v>1</v>
      </c>
      <c r="D104" s="30"/>
      <c r="E104" s="30"/>
      <c r="F104" s="30"/>
      <c r="G104" s="41"/>
      <c r="H104" s="30"/>
      <c r="I104" s="30"/>
      <c r="J104" s="30"/>
      <c r="K104" s="30"/>
      <c r="L104" s="30"/>
      <c r="M104" s="30"/>
      <c r="N104" s="30"/>
      <c r="O104" s="80">
        <f t="shared" si="1"/>
        <v>1</v>
      </c>
    </row>
    <row r="105" spans="1:15">
      <c r="A105" s="15">
        <v>499510110</v>
      </c>
      <c r="B105" s="65" t="s">
        <v>1314</v>
      </c>
      <c r="C105" s="41"/>
      <c r="D105" s="30"/>
      <c r="E105" s="30"/>
      <c r="F105" s="30"/>
      <c r="G105" s="41"/>
      <c r="H105" s="30"/>
      <c r="I105" s="30"/>
      <c r="J105" s="30"/>
      <c r="K105" s="30"/>
      <c r="L105" s="30"/>
      <c r="M105" s="30"/>
      <c r="N105" s="30"/>
      <c r="O105" s="80">
        <f t="shared" si="1"/>
        <v>0</v>
      </c>
    </row>
    <row r="106" spans="1:15">
      <c r="A106" s="15">
        <v>499510111</v>
      </c>
      <c r="B106" s="60" t="s">
        <v>1304</v>
      </c>
      <c r="C106" s="41"/>
      <c r="D106" s="30"/>
      <c r="E106" s="30"/>
      <c r="F106" s="30"/>
      <c r="G106" s="41"/>
      <c r="H106" s="30"/>
      <c r="I106" s="30"/>
      <c r="J106" s="30"/>
      <c r="K106" s="30"/>
      <c r="L106" s="30"/>
      <c r="M106" s="30"/>
      <c r="N106" s="30"/>
      <c r="O106" s="80">
        <f t="shared" si="1"/>
        <v>0</v>
      </c>
    </row>
    <row r="107" spans="1:15">
      <c r="A107" s="15">
        <v>499510112</v>
      </c>
      <c r="B107" s="14" t="s">
        <v>1305</v>
      </c>
      <c r="C107" s="41"/>
      <c r="D107" s="30"/>
      <c r="E107" s="30"/>
      <c r="F107" s="30"/>
      <c r="G107" s="41"/>
      <c r="H107" s="30"/>
      <c r="I107" s="30"/>
      <c r="J107" s="30"/>
      <c r="K107" s="30"/>
      <c r="L107" s="30"/>
      <c r="M107" s="30"/>
      <c r="N107" s="30"/>
      <c r="O107" s="80">
        <f t="shared" si="1"/>
        <v>0</v>
      </c>
    </row>
    <row r="108" spans="1:15">
      <c r="A108" s="15">
        <v>499510113</v>
      </c>
      <c r="B108" s="60" t="s">
        <v>1306</v>
      </c>
      <c r="C108" s="41"/>
      <c r="D108" s="30"/>
      <c r="E108" s="30"/>
      <c r="F108" s="30">
        <v>1</v>
      </c>
      <c r="G108" s="41"/>
      <c r="H108" s="30"/>
      <c r="I108" s="30"/>
      <c r="J108" s="30"/>
      <c r="K108" s="30"/>
      <c r="L108" s="30"/>
      <c r="M108" s="30"/>
      <c r="N108" s="30"/>
      <c r="O108" s="80">
        <f t="shared" si="1"/>
        <v>1</v>
      </c>
    </row>
    <row r="109" spans="1:15">
      <c r="A109" s="15">
        <v>499510114</v>
      </c>
      <c r="B109" s="60" t="s">
        <v>1307</v>
      </c>
      <c r="C109" s="41"/>
      <c r="D109" s="30"/>
      <c r="E109" s="30"/>
      <c r="F109" s="30"/>
      <c r="G109" s="41"/>
      <c r="H109" s="30"/>
      <c r="I109" s="30"/>
      <c r="J109" s="30"/>
      <c r="K109" s="30"/>
      <c r="L109" s="30"/>
      <c r="M109" s="30"/>
      <c r="N109" s="30">
        <v>1</v>
      </c>
      <c r="O109" s="80">
        <f t="shared" si="1"/>
        <v>0</v>
      </c>
    </row>
    <row r="110" spans="1:15">
      <c r="A110" s="15">
        <v>499510115</v>
      </c>
      <c r="B110" s="60" t="s">
        <v>1308</v>
      </c>
      <c r="C110" s="41"/>
      <c r="D110" s="30"/>
      <c r="E110" s="30"/>
      <c r="F110" s="30"/>
      <c r="G110" s="41"/>
      <c r="H110" s="30"/>
      <c r="I110" s="30"/>
      <c r="J110" s="30"/>
      <c r="K110" s="30">
        <v>1</v>
      </c>
      <c r="L110" s="30">
        <v>1</v>
      </c>
      <c r="M110" s="30"/>
      <c r="N110" s="30">
        <v>1</v>
      </c>
      <c r="O110" s="80">
        <f t="shared" si="1"/>
        <v>2</v>
      </c>
    </row>
    <row r="111" spans="1:15">
      <c r="A111" s="15">
        <v>499510116</v>
      </c>
      <c r="B111" s="60" t="s">
        <v>1309</v>
      </c>
      <c r="C111" s="41"/>
      <c r="D111" s="30"/>
      <c r="E111" s="30"/>
      <c r="F111" s="30"/>
      <c r="G111" s="41"/>
      <c r="H111" s="30"/>
      <c r="I111" s="30"/>
      <c r="J111" s="30"/>
      <c r="K111" s="30">
        <v>1</v>
      </c>
      <c r="L111" s="30"/>
      <c r="M111" s="30"/>
      <c r="N111" s="30"/>
      <c r="O111" s="80">
        <f t="shared" si="1"/>
        <v>1</v>
      </c>
    </row>
    <row r="112" spans="1:15">
      <c r="A112" s="15">
        <v>499510117</v>
      </c>
      <c r="B112" s="60" t="s">
        <v>1310</v>
      </c>
      <c r="C112" s="41"/>
      <c r="D112" s="30"/>
      <c r="E112" s="30"/>
      <c r="F112" s="30"/>
      <c r="G112" s="41"/>
      <c r="H112" s="30"/>
      <c r="I112" s="30"/>
      <c r="J112" s="30"/>
      <c r="K112" s="30"/>
      <c r="L112" s="30">
        <v>1</v>
      </c>
      <c r="M112" s="30"/>
      <c r="N112" s="30"/>
      <c r="O112" s="80">
        <f t="shared" si="1"/>
        <v>1</v>
      </c>
    </row>
    <row r="113" spans="1:20">
      <c r="A113" s="15">
        <v>499510118</v>
      </c>
      <c r="B113" s="60" t="s">
        <v>1311</v>
      </c>
      <c r="C113" s="41"/>
      <c r="D113" s="30"/>
      <c r="E113" s="30"/>
      <c r="F113" s="30"/>
      <c r="G113" s="41"/>
      <c r="H113" s="30"/>
      <c r="I113" s="30">
        <v>1</v>
      </c>
      <c r="J113" s="30"/>
      <c r="K113" s="30"/>
      <c r="L113" s="30">
        <v>1</v>
      </c>
      <c r="M113" s="30"/>
      <c r="N113" s="30"/>
      <c r="O113" s="80">
        <f t="shared" si="1"/>
        <v>2</v>
      </c>
    </row>
    <row r="114" spans="1:20">
      <c r="A114" s="15">
        <v>499510119</v>
      </c>
      <c r="B114" s="60" t="s">
        <v>1312</v>
      </c>
      <c r="C114" s="41"/>
      <c r="D114" s="30"/>
      <c r="E114" s="30"/>
      <c r="F114" s="30"/>
      <c r="G114" s="41"/>
      <c r="H114" s="30"/>
      <c r="I114" s="30"/>
      <c r="J114" s="30"/>
      <c r="K114" s="30"/>
      <c r="L114" s="30"/>
      <c r="M114" s="30"/>
      <c r="N114" s="30"/>
      <c r="O114" s="80">
        <f t="shared" si="1"/>
        <v>0</v>
      </c>
    </row>
    <row r="115" spans="1:20">
      <c r="A115" s="15">
        <v>499510120</v>
      </c>
      <c r="B115" s="60" t="s">
        <v>1313</v>
      </c>
      <c r="C115" s="41"/>
      <c r="D115" s="30"/>
      <c r="E115" s="30"/>
      <c r="F115" s="30"/>
      <c r="G115" s="41"/>
      <c r="H115" s="30"/>
      <c r="I115" s="30"/>
      <c r="J115" s="30"/>
      <c r="K115" s="30"/>
      <c r="L115" s="30"/>
      <c r="M115" s="30"/>
      <c r="N115" s="30"/>
      <c r="O115" s="80">
        <f t="shared" si="1"/>
        <v>0</v>
      </c>
    </row>
    <row r="116" spans="1:20">
      <c r="A116" s="38"/>
      <c r="B116" s="38"/>
    </row>
    <row r="117" spans="1:20">
      <c r="A117" s="32" t="s">
        <v>907</v>
      </c>
      <c r="H117" t="s">
        <v>909</v>
      </c>
      <c r="O117">
        <f>MEDIAN(O5:O115)</f>
        <v>1</v>
      </c>
    </row>
    <row r="118" spans="1:20">
      <c r="A118" t="s">
        <v>1116</v>
      </c>
    </row>
    <row r="119" spans="1:20" s="2" customFormat="1">
      <c r="A119" s="2" t="s">
        <v>1117</v>
      </c>
      <c r="C119" s="45"/>
      <c r="G119" s="45"/>
    </row>
    <row r="120" spans="1:20" s="2" customFormat="1">
      <c r="A120" s="2" t="s">
        <v>1121</v>
      </c>
      <c r="G120" s="45"/>
    </row>
    <row r="121" spans="1:20" s="2" customFormat="1">
      <c r="A121" s="129" t="s">
        <v>1205</v>
      </c>
      <c r="B121" s="129"/>
      <c r="C121" s="129"/>
      <c r="D121" s="129"/>
      <c r="E121" s="129"/>
      <c r="F121" s="129"/>
      <c r="G121" s="129"/>
    </row>
    <row r="122" spans="1:20">
      <c r="A122" s="129" t="s">
        <v>1220</v>
      </c>
      <c r="B122" s="129"/>
      <c r="C122" s="129"/>
      <c r="D122" s="129"/>
      <c r="E122" s="129"/>
      <c r="F122" s="129"/>
      <c r="G122" s="129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</row>
    <row r="123" spans="1:20">
      <c r="A123" s="2" t="s">
        <v>1224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</row>
    <row r="124" spans="1:20" s="2" customFormat="1">
      <c r="A124" s="2" t="s">
        <v>1365</v>
      </c>
      <c r="D124" s="45"/>
      <c r="E124" s="45"/>
      <c r="F124" s="45"/>
    </row>
    <row r="125" spans="1:20">
      <c r="A125" s="2" t="s">
        <v>1366</v>
      </c>
    </row>
    <row r="126" spans="1:20">
      <c r="A126" s="2" t="s">
        <v>1471</v>
      </c>
    </row>
    <row r="127" spans="1:20">
      <c r="A127" s="2" t="s">
        <v>1481</v>
      </c>
    </row>
    <row r="128" spans="1:20">
      <c r="A128" s="2" t="s">
        <v>1487</v>
      </c>
    </row>
  </sheetData>
  <mergeCells count="2">
    <mergeCell ref="A121:G121"/>
    <mergeCell ref="A122:G12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opLeftCell="A11" workbookViewId="0">
      <selection activeCell="B24" sqref="B24"/>
    </sheetView>
  </sheetViews>
  <sheetFormatPr defaultRowHeight="16.2"/>
  <cols>
    <col min="1" max="1" width="13.77734375" style="2" customWidth="1"/>
    <col min="3" max="15" width="6.109375" style="53" customWidth="1"/>
  </cols>
  <sheetData>
    <row r="1" spans="1:19">
      <c r="A1" s="1" t="s">
        <v>1208</v>
      </c>
      <c r="B1" s="2"/>
      <c r="C1" s="58">
        <f>MAX(O5:O102)</f>
        <v>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9">
      <c r="A2" s="27" t="s">
        <v>646</v>
      </c>
      <c r="B2" s="27" t="s">
        <v>661</v>
      </c>
      <c r="C2" s="54" t="s">
        <v>148</v>
      </c>
      <c r="D2" s="54">
        <v>2</v>
      </c>
      <c r="E2" s="54">
        <v>3</v>
      </c>
      <c r="F2" s="54">
        <v>4</v>
      </c>
      <c r="G2" s="54">
        <v>5</v>
      </c>
      <c r="H2" s="54">
        <v>6</v>
      </c>
      <c r="I2" s="54">
        <v>7</v>
      </c>
      <c r="J2" s="54">
        <v>8</v>
      </c>
      <c r="K2" s="54">
        <v>9</v>
      </c>
      <c r="L2" s="54">
        <v>10</v>
      </c>
      <c r="M2" s="54">
        <v>11</v>
      </c>
      <c r="N2" s="54">
        <v>12</v>
      </c>
      <c r="O2" s="51" t="s">
        <v>143</v>
      </c>
      <c r="P2" s="7"/>
      <c r="Q2" s="7"/>
      <c r="R2" s="7"/>
      <c r="S2" s="7"/>
    </row>
    <row r="3" spans="1:19">
      <c r="A3" s="13">
        <v>497530032</v>
      </c>
      <c r="B3" s="46" t="s">
        <v>1124</v>
      </c>
      <c r="C3" s="54"/>
      <c r="D3" s="54"/>
      <c r="E3" s="54"/>
      <c r="F3" s="54"/>
      <c r="G3" s="54"/>
      <c r="H3" s="54"/>
      <c r="I3" s="54">
        <v>1</v>
      </c>
      <c r="J3" s="54">
        <v>1</v>
      </c>
      <c r="K3" s="54"/>
      <c r="L3" s="54" t="s">
        <v>1216</v>
      </c>
      <c r="M3" s="54"/>
      <c r="N3" s="54"/>
      <c r="O3" s="52">
        <f>SUM(C3:N3)</f>
        <v>2</v>
      </c>
      <c r="P3" s="7"/>
      <c r="Q3" s="7"/>
      <c r="R3" s="7"/>
      <c r="S3" s="7"/>
    </row>
    <row r="4" spans="1:19">
      <c r="A4" s="13">
        <v>498330046</v>
      </c>
      <c r="B4" s="46" t="s">
        <v>1119</v>
      </c>
      <c r="C4" s="54"/>
      <c r="D4" s="54"/>
      <c r="E4" s="54"/>
      <c r="F4" s="54"/>
      <c r="G4" s="54"/>
      <c r="H4" s="55">
        <v>1</v>
      </c>
      <c r="I4" s="55"/>
      <c r="J4" s="55"/>
      <c r="K4" s="55"/>
      <c r="L4" s="55"/>
      <c r="M4" s="55"/>
      <c r="N4" s="55"/>
      <c r="O4" s="52">
        <f t="shared" ref="O4:O67" si="0">SUM(C4:N4)</f>
        <v>1</v>
      </c>
      <c r="P4" s="7"/>
      <c r="Q4" s="7"/>
      <c r="R4" s="7"/>
      <c r="S4" s="7"/>
    </row>
    <row r="5" spans="1:19">
      <c r="A5" s="47" t="s">
        <v>703</v>
      </c>
      <c r="B5" s="31" t="s">
        <v>704</v>
      </c>
      <c r="C5" s="56">
        <v>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2">
        <f t="shared" si="0"/>
        <v>1</v>
      </c>
    </row>
    <row r="6" spans="1:19">
      <c r="A6" s="47" t="s">
        <v>705</v>
      </c>
      <c r="B6" s="31" t="s">
        <v>706</v>
      </c>
      <c r="C6" s="56"/>
      <c r="D6" s="56"/>
      <c r="E6" s="56"/>
      <c r="F6" s="56"/>
      <c r="G6" s="56">
        <v>1</v>
      </c>
      <c r="H6" s="56"/>
      <c r="I6" s="56"/>
      <c r="J6" s="56">
        <v>1</v>
      </c>
      <c r="K6" s="56"/>
      <c r="L6" s="56"/>
      <c r="M6" s="56"/>
      <c r="N6" s="56"/>
      <c r="O6" s="52">
        <f t="shared" si="0"/>
        <v>2</v>
      </c>
    </row>
    <row r="7" spans="1:19">
      <c r="A7" s="47" t="s">
        <v>707</v>
      </c>
      <c r="B7" s="31" t="s">
        <v>708</v>
      </c>
      <c r="C7" s="56">
        <v>1</v>
      </c>
      <c r="D7" s="56"/>
      <c r="E7" s="56"/>
      <c r="F7" s="56"/>
      <c r="G7" s="56">
        <v>1</v>
      </c>
      <c r="H7" s="56"/>
      <c r="I7" s="56"/>
      <c r="J7" s="56"/>
      <c r="K7" s="56"/>
      <c r="L7" s="56"/>
      <c r="M7" s="56"/>
      <c r="N7" s="56"/>
      <c r="O7" s="52">
        <f t="shared" si="0"/>
        <v>2</v>
      </c>
    </row>
    <row r="8" spans="1:19">
      <c r="A8" s="47" t="s">
        <v>709</v>
      </c>
      <c r="B8" s="31" t="s">
        <v>710</v>
      </c>
      <c r="C8" s="56"/>
      <c r="D8" s="56"/>
      <c r="E8" s="56">
        <v>1</v>
      </c>
      <c r="F8" s="56"/>
      <c r="G8" s="56"/>
      <c r="H8" s="56"/>
      <c r="I8" s="56"/>
      <c r="J8" s="56">
        <v>1</v>
      </c>
      <c r="K8" s="56"/>
      <c r="L8" s="56"/>
      <c r="M8" s="56"/>
      <c r="N8" s="56"/>
      <c r="O8" s="52">
        <f t="shared" si="0"/>
        <v>2</v>
      </c>
    </row>
    <row r="9" spans="1:19">
      <c r="A9" s="47" t="s">
        <v>711</v>
      </c>
      <c r="B9" s="31" t="s">
        <v>712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2">
        <f t="shared" si="0"/>
        <v>0</v>
      </c>
    </row>
    <row r="10" spans="1:19">
      <c r="A10" s="47" t="s">
        <v>713</v>
      </c>
      <c r="B10" s="31" t="s">
        <v>714</v>
      </c>
      <c r="C10" s="56">
        <v>1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2">
        <f t="shared" si="0"/>
        <v>1</v>
      </c>
    </row>
    <row r="11" spans="1:19">
      <c r="A11" s="47" t="s">
        <v>715</v>
      </c>
      <c r="B11" s="31" t="s">
        <v>716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2">
        <f t="shared" si="0"/>
        <v>0</v>
      </c>
    </row>
    <row r="12" spans="1:19">
      <c r="A12" s="47" t="s">
        <v>717</v>
      </c>
      <c r="B12" s="31" t="s">
        <v>718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2">
        <f t="shared" si="0"/>
        <v>0</v>
      </c>
    </row>
    <row r="13" spans="1:19">
      <c r="A13" s="47" t="s">
        <v>719</v>
      </c>
      <c r="B13" s="31" t="s">
        <v>720</v>
      </c>
      <c r="C13" s="56">
        <v>1</v>
      </c>
      <c r="D13" s="56"/>
      <c r="E13" s="56"/>
      <c r="F13" s="56"/>
      <c r="G13" s="56"/>
      <c r="H13" s="56"/>
      <c r="I13" s="56"/>
      <c r="J13" s="56">
        <v>1</v>
      </c>
      <c r="K13" s="56"/>
      <c r="L13" s="56"/>
      <c r="M13" s="56"/>
      <c r="N13" s="56"/>
      <c r="O13" s="52">
        <f t="shared" si="0"/>
        <v>2</v>
      </c>
    </row>
    <row r="14" spans="1:19">
      <c r="A14" s="47" t="s">
        <v>721</v>
      </c>
      <c r="B14" s="31" t="s">
        <v>722</v>
      </c>
      <c r="C14" s="56">
        <v>1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2">
        <f t="shared" si="0"/>
        <v>1</v>
      </c>
    </row>
    <row r="15" spans="1:19">
      <c r="A15" s="47" t="s">
        <v>723</v>
      </c>
      <c r="B15" s="31" t="s">
        <v>724</v>
      </c>
      <c r="C15" s="56">
        <v>1</v>
      </c>
      <c r="D15" s="56"/>
      <c r="E15" s="56"/>
      <c r="F15" s="56"/>
      <c r="G15" s="56"/>
      <c r="H15" s="56"/>
      <c r="I15" s="56"/>
      <c r="J15" s="56">
        <v>1</v>
      </c>
      <c r="K15" s="56">
        <v>1</v>
      </c>
      <c r="L15" s="56"/>
      <c r="M15" s="56"/>
      <c r="N15" s="56"/>
      <c r="O15" s="52">
        <f t="shared" si="0"/>
        <v>3</v>
      </c>
    </row>
    <row r="16" spans="1:19">
      <c r="A16" s="47" t="s">
        <v>725</v>
      </c>
      <c r="B16" s="31" t="s">
        <v>726</v>
      </c>
      <c r="C16" s="56">
        <v>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2">
        <f t="shared" si="0"/>
        <v>1</v>
      </c>
    </row>
    <row r="17" spans="1:15">
      <c r="A17" s="47" t="s">
        <v>727</v>
      </c>
      <c r="B17" s="31" t="s">
        <v>728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2">
        <f t="shared" si="0"/>
        <v>0</v>
      </c>
    </row>
    <row r="18" spans="1:15">
      <c r="A18" s="47" t="s">
        <v>729</v>
      </c>
      <c r="B18" s="31" t="s">
        <v>730</v>
      </c>
      <c r="C18" s="56">
        <v>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2">
        <f t="shared" si="0"/>
        <v>1</v>
      </c>
    </row>
    <row r="19" spans="1:15">
      <c r="A19" s="47" t="s">
        <v>731</v>
      </c>
      <c r="B19" s="31" t="s">
        <v>732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2">
        <f t="shared" si="0"/>
        <v>0</v>
      </c>
    </row>
    <row r="20" spans="1:15">
      <c r="A20" s="47" t="s">
        <v>733</v>
      </c>
      <c r="B20" s="31" t="s">
        <v>734</v>
      </c>
      <c r="C20" s="56">
        <v>1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2">
        <f t="shared" si="0"/>
        <v>1</v>
      </c>
    </row>
    <row r="21" spans="1:15">
      <c r="A21" s="47" t="s">
        <v>735</v>
      </c>
      <c r="B21" s="31" t="s">
        <v>736</v>
      </c>
      <c r="C21" s="56">
        <v>1</v>
      </c>
      <c r="D21" s="56"/>
      <c r="E21" s="56"/>
      <c r="F21" s="56"/>
      <c r="G21" s="56"/>
      <c r="H21" s="56"/>
      <c r="I21" s="56"/>
      <c r="J21" s="56">
        <v>1</v>
      </c>
      <c r="K21" s="56"/>
      <c r="L21" s="56"/>
      <c r="M21" s="56"/>
      <c r="N21" s="56"/>
      <c r="O21" s="52">
        <f t="shared" si="0"/>
        <v>2</v>
      </c>
    </row>
    <row r="22" spans="1:15">
      <c r="A22" s="47" t="s">
        <v>737</v>
      </c>
      <c r="B22" s="31" t="s">
        <v>738</v>
      </c>
      <c r="C22" s="56">
        <v>1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>
        <v>1</v>
      </c>
      <c r="O22" s="52">
        <f t="shared" si="0"/>
        <v>2</v>
      </c>
    </row>
    <row r="23" spans="1:15">
      <c r="A23" s="47" t="s">
        <v>739</v>
      </c>
      <c r="B23" s="31" t="s">
        <v>740</v>
      </c>
      <c r="C23" s="56"/>
      <c r="D23" s="56"/>
      <c r="E23" s="56"/>
      <c r="F23" s="56"/>
      <c r="G23" s="56"/>
      <c r="H23" s="56"/>
      <c r="I23" s="56"/>
      <c r="J23" s="56">
        <v>1</v>
      </c>
      <c r="K23" s="56"/>
      <c r="L23" s="56">
        <v>1</v>
      </c>
      <c r="M23" s="56"/>
      <c r="N23" s="56"/>
      <c r="O23" s="52">
        <f t="shared" si="0"/>
        <v>2</v>
      </c>
    </row>
    <row r="24" spans="1:15">
      <c r="A24" s="47" t="s">
        <v>741</v>
      </c>
      <c r="B24" s="31" t="s">
        <v>742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2">
        <f t="shared" si="0"/>
        <v>0</v>
      </c>
    </row>
    <row r="25" spans="1:15">
      <c r="A25" s="47" t="s">
        <v>743</v>
      </c>
      <c r="B25" s="31" t="s">
        <v>744</v>
      </c>
      <c r="C25" s="56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2">
        <f t="shared" si="0"/>
        <v>1</v>
      </c>
    </row>
    <row r="26" spans="1:15">
      <c r="A26" s="47" t="s">
        <v>745</v>
      </c>
      <c r="B26" s="31" t="s">
        <v>746</v>
      </c>
      <c r="C26" s="56"/>
      <c r="D26" s="56"/>
      <c r="E26" s="56">
        <v>1</v>
      </c>
      <c r="F26" s="56"/>
      <c r="G26" s="56"/>
      <c r="H26" s="56"/>
      <c r="I26" s="56"/>
      <c r="J26" s="56"/>
      <c r="K26" s="56"/>
      <c r="L26" s="56"/>
      <c r="M26" s="56"/>
      <c r="N26" s="56"/>
      <c r="O26" s="52">
        <f t="shared" si="0"/>
        <v>1</v>
      </c>
    </row>
    <row r="27" spans="1:15">
      <c r="A27" s="47" t="s">
        <v>747</v>
      </c>
      <c r="B27" s="31" t="s">
        <v>748</v>
      </c>
      <c r="C27" s="56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2">
        <f t="shared" si="0"/>
        <v>1</v>
      </c>
    </row>
    <row r="28" spans="1:15">
      <c r="A28" s="47" t="s">
        <v>749</v>
      </c>
      <c r="B28" s="31" t="s">
        <v>750</v>
      </c>
      <c r="C28" s="56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2">
        <f t="shared" si="0"/>
        <v>1</v>
      </c>
    </row>
    <row r="29" spans="1:15">
      <c r="A29" s="47" t="s">
        <v>751</v>
      </c>
      <c r="B29" s="31" t="s">
        <v>752</v>
      </c>
      <c r="C29" s="56">
        <v>1</v>
      </c>
      <c r="D29" s="56"/>
      <c r="E29" s="56"/>
      <c r="F29" s="56"/>
      <c r="G29" s="56"/>
      <c r="H29" s="56"/>
      <c r="I29" s="56"/>
      <c r="J29" s="56"/>
      <c r="K29" s="56">
        <v>1</v>
      </c>
      <c r="L29" s="56"/>
      <c r="M29" s="56"/>
      <c r="N29" s="56"/>
      <c r="O29" s="52">
        <f t="shared" si="0"/>
        <v>2</v>
      </c>
    </row>
    <row r="30" spans="1:15">
      <c r="A30" s="47" t="s">
        <v>753</v>
      </c>
      <c r="B30" s="31" t="s">
        <v>754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2">
        <f t="shared" si="0"/>
        <v>0</v>
      </c>
    </row>
    <row r="31" spans="1:15">
      <c r="A31" s="47" t="s">
        <v>755</v>
      </c>
      <c r="B31" s="31" t="s">
        <v>756</v>
      </c>
      <c r="C31" s="56">
        <v>1</v>
      </c>
      <c r="D31" s="56"/>
      <c r="E31" s="56"/>
      <c r="F31" s="56"/>
      <c r="G31" s="56"/>
      <c r="H31" s="56"/>
      <c r="I31" s="56"/>
      <c r="J31" s="56"/>
      <c r="K31" s="56">
        <v>1</v>
      </c>
      <c r="L31" s="56"/>
      <c r="M31" s="56"/>
      <c r="N31" s="56"/>
      <c r="O31" s="52">
        <f t="shared" si="0"/>
        <v>2</v>
      </c>
    </row>
    <row r="32" spans="1:15">
      <c r="A32" s="47" t="s">
        <v>757</v>
      </c>
      <c r="B32" s="31" t="s">
        <v>758</v>
      </c>
      <c r="C32" s="56"/>
      <c r="D32" s="56">
        <v>1</v>
      </c>
      <c r="E32" s="56"/>
      <c r="F32" s="56"/>
      <c r="G32" s="56"/>
      <c r="H32" s="56"/>
      <c r="I32" s="56"/>
      <c r="J32" s="56"/>
      <c r="K32" s="56">
        <v>1</v>
      </c>
      <c r="L32" s="56"/>
      <c r="M32" s="56"/>
      <c r="N32" s="56">
        <v>1</v>
      </c>
      <c r="O32" s="52">
        <f t="shared" si="0"/>
        <v>3</v>
      </c>
    </row>
    <row r="33" spans="1:15">
      <c r="A33" s="47" t="s">
        <v>759</v>
      </c>
      <c r="B33" s="31" t="s">
        <v>760</v>
      </c>
      <c r="C33" s="56"/>
      <c r="D33" s="56">
        <v>1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2">
        <f t="shared" si="0"/>
        <v>1</v>
      </c>
    </row>
    <row r="34" spans="1:15">
      <c r="A34" s="47" t="s">
        <v>761</v>
      </c>
      <c r="B34" s="31" t="s">
        <v>762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2">
        <f t="shared" si="0"/>
        <v>0</v>
      </c>
    </row>
    <row r="35" spans="1:15">
      <c r="A35" s="47" t="s">
        <v>763</v>
      </c>
      <c r="B35" s="31" t="s">
        <v>764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>
        <v>1</v>
      </c>
      <c r="N35" s="56"/>
      <c r="O35" s="52">
        <f t="shared" si="0"/>
        <v>1</v>
      </c>
    </row>
    <row r="36" spans="1:15">
      <c r="A36" s="47" t="s">
        <v>765</v>
      </c>
      <c r="B36" s="31" t="s">
        <v>766</v>
      </c>
      <c r="C36" s="56">
        <v>1</v>
      </c>
      <c r="D36" s="56"/>
      <c r="E36" s="56">
        <v>1</v>
      </c>
      <c r="F36" s="56"/>
      <c r="G36" s="56">
        <v>1</v>
      </c>
      <c r="H36" s="56"/>
      <c r="I36" s="56">
        <v>1</v>
      </c>
      <c r="J36" s="56"/>
      <c r="K36" s="56"/>
      <c r="L36" s="56"/>
      <c r="M36" s="56"/>
      <c r="N36" s="56"/>
      <c r="O36" s="52">
        <f t="shared" si="0"/>
        <v>4</v>
      </c>
    </row>
    <row r="37" spans="1:15">
      <c r="A37" s="47" t="s">
        <v>767</v>
      </c>
      <c r="B37" s="31" t="s">
        <v>768</v>
      </c>
      <c r="C37" s="56">
        <v>1</v>
      </c>
      <c r="D37" s="56"/>
      <c r="E37" s="56">
        <v>1</v>
      </c>
      <c r="F37" s="56">
        <v>1</v>
      </c>
      <c r="G37" s="56"/>
      <c r="H37" s="56"/>
      <c r="I37" s="56"/>
      <c r="J37" s="56"/>
      <c r="K37" s="56"/>
      <c r="L37" s="56">
        <v>1</v>
      </c>
      <c r="M37" s="56"/>
      <c r="N37" s="56"/>
      <c r="O37" s="52">
        <f t="shared" si="0"/>
        <v>4</v>
      </c>
    </row>
    <row r="38" spans="1:15">
      <c r="A38" s="47" t="s">
        <v>769</v>
      </c>
      <c r="B38" s="31" t="s">
        <v>770</v>
      </c>
      <c r="C38" s="56"/>
      <c r="D38" s="56"/>
      <c r="E38" s="56">
        <v>1</v>
      </c>
      <c r="F38" s="56">
        <v>1</v>
      </c>
      <c r="G38" s="56"/>
      <c r="H38" s="56">
        <v>1</v>
      </c>
      <c r="I38" s="56"/>
      <c r="J38" s="56"/>
      <c r="K38" s="56"/>
      <c r="L38" s="56">
        <v>1</v>
      </c>
      <c r="M38" s="56"/>
      <c r="N38" s="56"/>
      <c r="O38" s="52">
        <f t="shared" si="0"/>
        <v>4</v>
      </c>
    </row>
    <row r="39" spans="1:15">
      <c r="A39" s="47" t="s">
        <v>771</v>
      </c>
      <c r="B39" s="31" t="s">
        <v>772</v>
      </c>
      <c r="C39" s="56">
        <v>1</v>
      </c>
      <c r="D39" s="56"/>
      <c r="E39" s="56"/>
      <c r="F39" s="56"/>
      <c r="G39" s="56"/>
      <c r="H39" s="56"/>
      <c r="I39" s="56"/>
      <c r="J39" s="56">
        <v>1</v>
      </c>
      <c r="K39" s="56"/>
      <c r="L39" s="56"/>
      <c r="M39" s="56"/>
      <c r="N39" s="56"/>
      <c r="O39" s="52">
        <f t="shared" si="0"/>
        <v>2</v>
      </c>
    </row>
    <row r="40" spans="1:15">
      <c r="A40" s="47" t="s">
        <v>773</v>
      </c>
      <c r="B40" s="31" t="s">
        <v>774</v>
      </c>
      <c r="C40" s="56">
        <v>1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2">
        <f t="shared" si="0"/>
        <v>1</v>
      </c>
    </row>
    <row r="41" spans="1:15">
      <c r="A41" s="47" t="s">
        <v>775</v>
      </c>
      <c r="B41" s="31" t="s">
        <v>776</v>
      </c>
      <c r="C41" s="56">
        <v>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2">
        <f t="shared" si="0"/>
        <v>1</v>
      </c>
    </row>
    <row r="42" spans="1:15">
      <c r="A42" s="47" t="s">
        <v>777</v>
      </c>
      <c r="B42" s="31" t="s">
        <v>778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2">
        <f t="shared" si="0"/>
        <v>0</v>
      </c>
    </row>
    <row r="43" spans="1:15">
      <c r="A43" s="47" t="s">
        <v>779</v>
      </c>
      <c r="B43" s="31" t="s">
        <v>780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2">
        <f t="shared" si="0"/>
        <v>0</v>
      </c>
    </row>
    <row r="44" spans="1:15">
      <c r="A44" s="47" t="s">
        <v>781</v>
      </c>
      <c r="B44" s="31" t="s">
        <v>782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2">
        <f t="shared" si="0"/>
        <v>0</v>
      </c>
    </row>
    <row r="45" spans="1:15">
      <c r="A45" s="47" t="s">
        <v>783</v>
      </c>
      <c r="B45" s="31" t="s">
        <v>784</v>
      </c>
      <c r="C45" s="56">
        <v>1</v>
      </c>
      <c r="D45" s="56"/>
      <c r="E45" s="56"/>
      <c r="F45" s="56"/>
      <c r="G45" s="56"/>
      <c r="H45" s="56"/>
      <c r="I45" s="56"/>
      <c r="J45" s="56"/>
      <c r="K45" s="56"/>
      <c r="L45" s="56">
        <v>1</v>
      </c>
      <c r="M45" s="56"/>
      <c r="N45" s="56"/>
      <c r="O45" s="52">
        <f t="shared" si="0"/>
        <v>2</v>
      </c>
    </row>
    <row r="46" spans="1:15">
      <c r="A46" s="47" t="s">
        <v>785</v>
      </c>
      <c r="B46" s="31" t="s">
        <v>786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2">
        <f t="shared" si="0"/>
        <v>0</v>
      </c>
    </row>
    <row r="47" spans="1:15">
      <c r="A47" s="47" t="s">
        <v>787</v>
      </c>
      <c r="B47" s="31" t="s">
        <v>788</v>
      </c>
      <c r="C47" s="56">
        <v>1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2">
        <f t="shared" si="0"/>
        <v>1</v>
      </c>
    </row>
    <row r="48" spans="1:15">
      <c r="A48" s="47" t="s">
        <v>789</v>
      </c>
      <c r="B48" s="31" t="s">
        <v>790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2">
        <f t="shared" si="0"/>
        <v>0</v>
      </c>
    </row>
    <row r="49" spans="1:15">
      <c r="A49" s="47" t="s">
        <v>791</v>
      </c>
      <c r="B49" s="31" t="s">
        <v>792</v>
      </c>
      <c r="C49" s="56">
        <v>1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2">
        <f t="shared" si="0"/>
        <v>1</v>
      </c>
    </row>
    <row r="50" spans="1:15">
      <c r="A50" s="47" t="s">
        <v>793</v>
      </c>
      <c r="B50" s="31" t="s">
        <v>794</v>
      </c>
      <c r="C50" s="56">
        <v>1</v>
      </c>
      <c r="D50" s="56"/>
      <c r="E50" s="56"/>
      <c r="F50" s="56"/>
      <c r="G50" s="56"/>
      <c r="H50" s="56"/>
      <c r="I50" s="56"/>
      <c r="J50" s="56">
        <v>1</v>
      </c>
      <c r="K50" s="56"/>
      <c r="L50" s="56"/>
      <c r="M50" s="56"/>
      <c r="N50" s="56"/>
      <c r="O50" s="52">
        <f t="shared" si="0"/>
        <v>2</v>
      </c>
    </row>
    <row r="51" spans="1:15">
      <c r="A51" s="47" t="s">
        <v>795</v>
      </c>
      <c r="B51" s="31" t="s">
        <v>796</v>
      </c>
      <c r="C51" s="56"/>
      <c r="D51" s="56"/>
      <c r="E51" s="56"/>
      <c r="F51" s="56"/>
      <c r="G51" s="56">
        <v>1</v>
      </c>
      <c r="H51" s="56"/>
      <c r="I51" s="56"/>
      <c r="J51" s="56">
        <v>1</v>
      </c>
      <c r="K51" s="56"/>
      <c r="L51" s="56"/>
      <c r="M51" s="56"/>
      <c r="N51" s="56"/>
      <c r="O51" s="52">
        <f t="shared" si="0"/>
        <v>2</v>
      </c>
    </row>
    <row r="52" spans="1:15">
      <c r="A52" s="47" t="s">
        <v>797</v>
      </c>
      <c r="B52" s="31" t="s">
        <v>798</v>
      </c>
      <c r="C52" s="56">
        <v>1</v>
      </c>
      <c r="D52" s="56"/>
      <c r="E52" s="56">
        <v>1</v>
      </c>
      <c r="F52" s="56"/>
      <c r="G52" s="56">
        <v>1</v>
      </c>
      <c r="H52" s="56"/>
      <c r="I52" s="56">
        <v>1</v>
      </c>
      <c r="J52" s="56"/>
      <c r="K52" s="56"/>
      <c r="L52" s="56"/>
      <c r="M52" s="56"/>
      <c r="N52" s="56"/>
      <c r="O52" s="52">
        <f t="shared" si="0"/>
        <v>4</v>
      </c>
    </row>
    <row r="53" spans="1:15">
      <c r="A53" s="47" t="s">
        <v>799</v>
      </c>
      <c r="B53" s="31" t="s">
        <v>800</v>
      </c>
      <c r="C53" s="56">
        <v>1</v>
      </c>
      <c r="D53" s="56"/>
      <c r="E53" s="56"/>
      <c r="F53" s="56"/>
      <c r="G53" s="56">
        <v>1</v>
      </c>
      <c r="H53" s="56"/>
      <c r="I53" s="56"/>
      <c r="J53" s="56"/>
      <c r="K53" s="56"/>
      <c r="L53" s="56"/>
      <c r="M53" s="56">
        <v>1</v>
      </c>
      <c r="N53" s="56"/>
      <c r="O53" s="52">
        <f t="shared" si="0"/>
        <v>3</v>
      </c>
    </row>
    <row r="54" spans="1:15">
      <c r="A54" s="47" t="s">
        <v>801</v>
      </c>
      <c r="B54" s="31" t="s">
        <v>802</v>
      </c>
      <c r="C54" s="56">
        <v>1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2">
        <f t="shared" si="0"/>
        <v>1</v>
      </c>
    </row>
    <row r="55" spans="1:15">
      <c r="A55" s="47" t="s">
        <v>803</v>
      </c>
      <c r="B55" s="31" t="s">
        <v>804</v>
      </c>
      <c r="C55" s="56">
        <v>1</v>
      </c>
      <c r="D55" s="56"/>
      <c r="E55" s="56"/>
      <c r="F55" s="56"/>
      <c r="G55" s="56">
        <v>1</v>
      </c>
      <c r="H55" s="56"/>
      <c r="I55" s="56"/>
      <c r="J55" s="56"/>
      <c r="K55" s="56">
        <v>1</v>
      </c>
      <c r="L55" s="56"/>
      <c r="M55" s="56"/>
      <c r="N55" s="56"/>
      <c r="O55" s="52">
        <f t="shared" si="0"/>
        <v>3</v>
      </c>
    </row>
    <row r="56" spans="1:15">
      <c r="A56" s="47" t="s">
        <v>805</v>
      </c>
      <c r="B56" s="31" t="s">
        <v>806</v>
      </c>
      <c r="C56" s="56">
        <v>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2">
        <f t="shared" si="0"/>
        <v>1</v>
      </c>
    </row>
    <row r="57" spans="1:15">
      <c r="A57" s="47" t="s">
        <v>807</v>
      </c>
      <c r="B57" s="31" t="s">
        <v>808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2">
        <f t="shared" si="0"/>
        <v>0</v>
      </c>
    </row>
    <row r="58" spans="1:15">
      <c r="A58" s="47" t="s">
        <v>809</v>
      </c>
      <c r="B58" s="31" t="s">
        <v>810</v>
      </c>
      <c r="C58" s="56">
        <v>1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2">
        <f t="shared" si="0"/>
        <v>1</v>
      </c>
    </row>
    <row r="59" spans="1:15">
      <c r="A59" s="47" t="s">
        <v>811</v>
      </c>
      <c r="B59" s="31" t="s">
        <v>812</v>
      </c>
      <c r="C59" s="56">
        <v>1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2">
        <f t="shared" si="0"/>
        <v>1</v>
      </c>
    </row>
    <row r="60" spans="1:15">
      <c r="A60" s="47" t="s">
        <v>813</v>
      </c>
      <c r="B60" s="31" t="s">
        <v>814</v>
      </c>
      <c r="C60" s="56">
        <v>1</v>
      </c>
      <c r="D60" s="56">
        <v>1</v>
      </c>
      <c r="E60" s="56"/>
      <c r="F60" s="56"/>
      <c r="G60" s="56"/>
      <c r="H60" s="56"/>
      <c r="I60" s="56"/>
      <c r="J60" s="56"/>
      <c r="K60" s="56"/>
      <c r="L60" s="56">
        <v>1</v>
      </c>
      <c r="M60" s="56"/>
      <c r="N60" s="56"/>
      <c r="O60" s="52">
        <f t="shared" si="0"/>
        <v>3</v>
      </c>
    </row>
    <row r="61" spans="1:15">
      <c r="A61" s="47" t="s">
        <v>815</v>
      </c>
      <c r="B61" s="31" t="s">
        <v>816</v>
      </c>
      <c r="C61" s="56">
        <v>1</v>
      </c>
      <c r="D61" s="56"/>
      <c r="E61" s="56"/>
      <c r="F61" s="56"/>
      <c r="G61" s="56">
        <v>1</v>
      </c>
      <c r="H61" s="56"/>
      <c r="I61" s="56"/>
      <c r="J61" s="56"/>
      <c r="K61" s="56"/>
      <c r="L61" s="56"/>
      <c r="M61" s="56"/>
      <c r="N61" s="56"/>
      <c r="O61" s="52">
        <f t="shared" si="0"/>
        <v>2</v>
      </c>
    </row>
    <row r="62" spans="1:15">
      <c r="A62" s="47" t="s">
        <v>817</v>
      </c>
      <c r="B62" s="31" t="s">
        <v>818</v>
      </c>
      <c r="C62" s="56">
        <v>1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2">
        <f t="shared" si="0"/>
        <v>1</v>
      </c>
    </row>
    <row r="63" spans="1:15">
      <c r="A63" s="47" t="s">
        <v>819</v>
      </c>
      <c r="B63" s="31" t="s">
        <v>820</v>
      </c>
      <c r="C63" s="56">
        <v>1</v>
      </c>
      <c r="D63" s="56"/>
      <c r="E63" s="56"/>
      <c r="F63" s="56"/>
      <c r="G63" s="56">
        <v>1</v>
      </c>
      <c r="H63" s="56"/>
      <c r="I63" s="56"/>
      <c r="J63" s="56"/>
      <c r="K63" s="56"/>
      <c r="L63" s="56"/>
      <c r="M63" s="56"/>
      <c r="N63" s="56"/>
      <c r="O63" s="52">
        <f t="shared" si="0"/>
        <v>2</v>
      </c>
    </row>
    <row r="64" spans="1:15">
      <c r="A64" s="47" t="s">
        <v>821</v>
      </c>
      <c r="B64" s="31" t="s">
        <v>822</v>
      </c>
      <c r="C64" s="56">
        <v>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2">
        <f t="shared" si="0"/>
        <v>1</v>
      </c>
    </row>
    <row r="65" spans="1:15">
      <c r="A65" s="47" t="s">
        <v>823</v>
      </c>
      <c r="B65" s="31" t="s">
        <v>824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2">
        <f t="shared" si="0"/>
        <v>0</v>
      </c>
    </row>
    <row r="66" spans="1:15">
      <c r="A66" s="47" t="s">
        <v>825</v>
      </c>
      <c r="B66" s="31" t="s">
        <v>826</v>
      </c>
      <c r="C66" s="56">
        <v>1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2">
        <f t="shared" si="0"/>
        <v>1</v>
      </c>
    </row>
    <row r="67" spans="1:15">
      <c r="A67" s="47" t="s">
        <v>827</v>
      </c>
      <c r="B67" s="31" t="s">
        <v>828</v>
      </c>
      <c r="C67" s="56">
        <v>1</v>
      </c>
      <c r="D67" s="56"/>
      <c r="E67" s="56"/>
      <c r="F67" s="56"/>
      <c r="G67" s="56"/>
      <c r="H67" s="56"/>
      <c r="I67" s="56">
        <v>1</v>
      </c>
      <c r="J67" s="56"/>
      <c r="K67" s="56"/>
      <c r="L67" s="56"/>
      <c r="M67" s="56"/>
      <c r="N67" s="56"/>
      <c r="O67" s="52">
        <f t="shared" si="0"/>
        <v>2</v>
      </c>
    </row>
    <row r="68" spans="1:15">
      <c r="A68" s="47" t="s">
        <v>829</v>
      </c>
      <c r="B68" s="31" t="s">
        <v>830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2">
        <f t="shared" ref="O68:O112" si="1">SUM(C68:N68)</f>
        <v>0</v>
      </c>
    </row>
    <row r="69" spans="1:15">
      <c r="A69" s="47" t="s">
        <v>831</v>
      </c>
      <c r="B69" s="31" t="s">
        <v>832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>
        <v>1</v>
      </c>
      <c r="O69" s="52">
        <f t="shared" si="1"/>
        <v>1</v>
      </c>
    </row>
    <row r="70" spans="1:15">
      <c r="A70" s="47" t="s">
        <v>833</v>
      </c>
      <c r="B70" s="31" t="s">
        <v>834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2">
        <f t="shared" si="1"/>
        <v>0</v>
      </c>
    </row>
    <row r="71" spans="1:15">
      <c r="A71" s="47" t="s">
        <v>835</v>
      </c>
      <c r="B71" s="31" t="s">
        <v>836</v>
      </c>
      <c r="C71" s="56">
        <v>1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2">
        <f t="shared" si="1"/>
        <v>1</v>
      </c>
    </row>
    <row r="72" spans="1:15">
      <c r="A72" s="47" t="s">
        <v>837</v>
      </c>
      <c r="B72" s="31" t="s">
        <v>838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2">
        <f t="shared" si="1"/>
        <v>0</v>
      </c>
    </row>
    <row r="73" spans="1:15">
      <c r="A73" s="47" t="s">
        <v>839</v>
      </c>
      <c r="B73" s="31" t="s">
        <v>840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2">
        <f t="shared" si="1"/>
        <v>0</v>
      </c>
    </row>
    <row r="74" spans="1:15">
      <c r="A74" s="47" t="s">
        <v>841</v>
      </c>
      <c r="B74" s="31" t="s">
        <v>842</v>
      </c>
      <c r="C74" s="56"/>
      <c r="D74" s="56"/>
      <c r="E74" s="56"/>
      <c r="F74" s="56">
        <v>1</v>
      </c>
      <c r="G74" s="56"/>
      <c r="H74" s="56">
        <v>1</v>
      </c>
      <c r="I74" s="56"/>
      <c r="J74" s="56"/>
      <c r="K74" s="56"/>
      <c r="L74" s="56"/>
      <c r="M74" s="56"/>
      <c r="N74" s="56"/>
      <c r="O74" s="52">
        <f t="shared" si="1"/>
        <v>2</v>
      </c>
    </row>
    <row r="75" spans="1:15">
      <c r="A75" s="47" t="s">
        <v>843</v>
      </c>
      <c r="B75" s="31" t="s">
        <v>844</v>
      </c>
      <c r="C75" s="56">
        <v>1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2">
        <f t="shared" si="1"/>
        <v>1</v>
      </c>
    </row>
    <row r="76" spans="1:15">
      <c r="A76" s="47" t="s">
        <v>845</v>
      </c>
      <c r="B76" s="31" t="s">
        <v>846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2">
        <f t="shared" si="1"/>
        <v>0</v>
      </c>
    </row>
    <row r="77" spans="1:15">
      <c r="A77" s="47" t="s">
        <v>847</v>
      </c>
      <c r="B77" s="31" t="s">
        <v>848</v>
      </c>
      <c r="C77" s="56">
        <v>1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>
        <v>1</v>
      </c>
      <c r="O77" s="52">
        <f t="shared" si="1"/>
        <v>2</v>
      </c>
    </row>
    <row r="78" spans="1:15">
      <c r="A78" s="47" t="s">
        <v>849</v>
      </c>
      <c r="B78" s="31" t="s">
        <v>850</v>
      </c>
      <c r="C78" s="56"/>
      <c r="D78" s="56"/>
      <c r="E78" s="56"/>
      <c r="F78" s="56"/>
      <c r="G78" s="56"/>
      <c r="H78" s="56">
        <v>1</v>
      </c>
      <c r="I78" s="56"/>
      <c r="J78" s="56"/>
      <c r="K78" s="56"/>
      <c r="L78" s="56"/>
      <c r="M78" s="56"/>
      <c r="N78" s="56"/>
      <c r="O78" s="52">
        <f t="shared" si="1"/>
        <v>1</v>
      </c>
    </row>
    <row r="79" spans="1:15">
      <c r="A79" s="47" t="s">
        <v>851</v>
      </c>
      <c r="B79" s="31" t="s">
        <v>852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2">
        <f t="shared" si="1"/>
        <v>0</v>
      </c>
    </row>
    <row r="80" spans="1:15">
      <c r="A80" s="47" t="s">
        <v>853</v>
      </c>
      <c r="B80" s="31" t="s">
        <v>854</v>
      </c>
      <c r="C80" s="56"/>
      <c r="D80" s="56"/>
      <c r="E80" s="56"/>
      <c r="F80" s="56">
        <v>1</v>
      </c>
      <c r="G80" s="56"/>
      <c r="H80" s="56">
        <v>1</v>
      </c>
      <c r="I80" s="56"/>
      <c r="J80" s="56"/>
      <c r="K80" s="56"/>
      <c r="L80" s="56">
        <v>1</v>
      </c>
      <c r="M80" s="56"/>
      <c r="N80" s="56"/>
      <c r="O80" s="52">
        <f t="shared" si="1"/>
        <v>3</v>
      </c>
    </row>
    <row r="81" spans="1:15">
      <c r="A81" s="47" t="s">
        <v>855</v>
      </c>
      <c r="B81" s="31" t="s">
        <v>906</v>
      </c>
      <c r="C81" s="56">
        <v>1</v>
      </c>
      <c r="D81" s="56"/>
      <c r="E81" s="56"/>
      <c r="F81" s="56"/>
      <c r="G81" s="56"/>
      <c r="H81" s="56"/>
      <c r="I81" s="56"/>
      <c r="J81" s="56"/>
      <c r="K81" s="56"/>
      <c r="L81" s="56">
        <v>1</v>
      </c>
      <c r="M81" s="56"/>
      <c r="N81" s="56"/>
      <c r="O81" s="52">
        <f t="shared" si="1"/>
        <v>2</v>
      </c>
    </row>
    <row r="82" spans="1:15">
      <c r="A82" s="47" t="s">
        <v>856</v>
      </c>
      <c r="B82" s="31" t="s">
        <v>857</v>
      </c>
      <c r="C82" s="56">
        <v>1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2">
        <f t="shared" si="1"/>
        <v>1</v>
      </c>
    </row>
    <row r="83" spans="1:15">
      <c r="A83" s="47" t="s">
        <v>858</v>
      </c>
      <c r="B83" s="31" t="s">
        <v>859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2">
        <f t="shared" si="1"/>
        <v>0</v>
      </c>
    </row>
    <row r="84" spans="1:15">
      <c r="A84" s="47" t="s">
        <v>860</v>
      </c>
      <c r="B84" s="31" t="s">
        <v>861</v>
      </c>
      <c r="C84" s="56">
        <v>1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2">
        <f t="shared" si="1"/>
        <v>1</v>
      </c>
    </row>
    <row r="85" spans="1:15">
      <c r="A85" s="47" t="s">
        <v>862</v>
      </c>
      <c r="B85" s="31" t="s">
        <v>863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2">
        <f t="shared" si="1"/>
        <v>0</v>
      </c>
    </row>
    <row r="86" spans="1:15">
      <c r="A86" s="47" t="s">
        <v>864</v>
      </c>
      <c r="B86" s="31" t="s">
        <v>865</v>
      </c>
      <c r="C86" s="56">
        <v>1</v>
      </c>
      <c r="D86" s="56">
        <v>1</v>
      </c>
      <c r="E86" s="56"/>
      <c r="F86" s="56"/>
      <c r="G86" s="56"/>
      <c r="H86" s="56"/>
      <c r="I86" s="56"/>
      <c r="J86" s="56"/>
      <c r="K86" s="56"/>
      <c r="L86" s="56">
        <v>1</v>
      </c>
      <c r="M86" s="56"/>
      <c r="N86" s="56"/>
      <c r="O86" s="52">
        <f t="shared" si="1"/>
        <v>3</v>
      </c>
    </row>
    <row r="87" spans="1:15">
      <c r="A87" s="47" t="s">
        <v>866</v>
      </c>
      <c r="B87" s="31" t="s">
        <v>867</v>
      </c>
      <c r="C87" s="56"/>
      <c r="D87" s="56"/>
      <c r="E87" s="56">
        <v>1</v>
      </c>
      <c r="F87" s="56"/>
      <c r="G87" s="56"/>
      <c r="H87" s="56"/>
      <c r="I87" s="56"/>
      <c r="J87" s="56"/>
      <c r="K87" s="56"/>
      <c r="L87" s="56"/>
      <c r="M87" s="56"/>
      <c r="N87" s="56"/>
      <c r="O87" s="52">
        <f t="shared" si="1"/>
        <v>1</v>
      </c>
    </row>
    <row r="88" spans="1:15">
      <c r="A88" s="47" t="s">
        <v>868</v>
      </c>
      <c r="B88" s="31" t="s">
        <v>869</v>
      </c>
      <c r="C88" s="56">
        <v>1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2">
        <f t="shared" si="1"/>
        <v>1</v>
      </c>
    </row>
    <row r="89" spans="1:15">
      <c r="A89" s="47" t="s">
        <v>870</v>
      </c>
      <c r="B89" s="31" t="s">
        <v>871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2">
        <f t="shared" si="1"/>
        <v>0</v>
      </c>
    </row>
    <row r="90" spans="1:15">
      <c r="A90" s="47" t="s">
        <v>872</v>
      </c>
      <c r="B90" s="31" t="s">
        <v>873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2">
        <f t="shared" si="1"/>
        <v>0</v>
      </c>
    </row>
    <row r="91" spans="1:15">
      <c r="A91" s="47" t="s">
        <v>874</v>
      </c>
      <c r="B91" s="31" t="s">
        <v>875</v>
      </c>
      <c r="C91" s="56">
        <v>1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2">
        <f t="shared" si="1"/>
        <v>1</v>
      </c>
    </row>
    <row r="92" spans="1:15">
      <c r="A92" s="47" t="s">
        <v>876</v>
      </c>
      <c r="B92" s="31" t="s">
        <v>877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2">
        <f t="shared" si="1"/>
        <v>0</v>
      </c>
    </row>
    <row r="93" spans="1:15">
      <c r="A93" s="47" t="s">
        <v>878</v>
      </c>
      <c r="B93" s="31" t="s">
        <v>879</v>
      </c>
      <c r="C93" s="56">
        <v>1</v>
      </c>
      <c r="D93" s="56"/>
      <c r="E93" s="56"/>
      <c r="F93" s="56"/>
      <c r="G93" s="56"/>
      <c r="H93" s="56"/>
      <c r="I93" s="56"/>
      <c r="J93" s="56"/>
      <c r="K93" s="56">
        <v>1</v>
      </c>
      <c r="L93" s="56">
        <v>1</v>
      </c>
      <c r="M93" s="56"/>
      <c r="N93" s="56"/>
      <c r="O93" s="52">
        <f t="shared" si="1"/>
        <v>3</v>
      </c>
    </row>
    <row r="94" spans="1:15">
      <c r="A94" s="47" t="s">
        <v>880</v>
      </c>
      <c r="B94" s="31" t="s">
        <v>881</v>
      </c>
      <c r="C94" s="56"/>
      <c r="D94" s="56"/>
      <c r="E94" s="56"/>
      <c r="F94" s="56"/>
      <c r="G94" s="56"/>
      <c r="H94" s="56">
        <v>1</v>
      </c>
      <c r="I94" s="56"/>
      <c r="J94" s="56"/>
      <c r="K94" s="56"/>
      <c r="L94" s="56"/>
      <c r="M94" s="56"/>
      <c r="N94" s="56"/>
      <c r="O94" s="52">
        <f t="shared" si="1"/>
        <v>1</v>
      </c>
    </row>
    <row r="95" spans="1:15">
      <c r="A95" s="47" t="s">
        <v>882</v>
      </c>
      <c r="B95" s="31" t="s">
        <v>883</v>
      </c>
      <c r="C95" s="56">
        <v>1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2">
        <f t="shared" si="1"/>
        <v>1</v>
      </c>
    </row>
    <row r="96" spans="1:15">
      <c r="A96" s="47" t="s">
        <v>884</v>
      </c>
      <c r="B96" s="31" t="s">
        <v>885</v>
      </c>
      <c r="C96" s="56">
        <v>1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2">
        <f t="shared" si="1"/>
        <v>1</v>
      </c>
    </row>
    <row r="97" spans="1:15">
      <c r="A97" s="47" t="s">
        <v>886</v>
      </c>
      <c r="B97" s="31" t="s">
        <v>887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2">
        <f t="shared" si="1"/>
        <v>0</v>
      </c>
    </row>
    <row r="98" spans="1:15">
      <c r="A98" s="47" t="s">
        <v>888</v>
      </c>
      <c r="B98" s="31" t="s">
        <v>889</v>
      </c>
      <c r="C98" s="56">
        <v>1</v>
      </c>
      <c r="D98" s="56"/>
      <c r="E98" s="56"/>
      <c r="F98" s="56"/>
      <c r="G98" s="56"/>
      <c r="H98" s="56">
        <v>1</v>
      </c>
      <c r="I98" s="56"/>
      <c r="J98" s="56"/>
      <c r="K98" s="56"/>
      <c r="L98" s="56"/>
      <c r="M98" s="56"/>
      <c r="N98" s="56"/>
      <c r="O98" s="52">
        <f t="shared" si="1"/>
        <v>2</v>
      </c>
    </row>
    <row r="99" spans="1:15">
      <c r="A99" s="47" t="s">
        <v>890</v>
      </c>
      <c r="B99" s="31" t="s">
        <v>891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2">
        <f t="shared" si="1"/>
        <v>0</v>
      </c>
    </row>
    <row r="100" spans="1:15">
      <c r="A100" s="47" t="s">
        <v>892</v>
      </c>
      <c r="B100" s="31" t="s">
        <v>893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2">
        <f t="shared" si="1"/>
        <v>0</v>
      </c>
    </row>
    <row r="101" spans="1:15">
      <c r="A101" s="47" t="s">
        <v>894</v>
      </c>
      <c r="B101" s="31" t="s">
        <v>895</v>
      </c>
      <c r="C101" s="56"/>
      <c r="D101" s="56"/>
      <c r="E101" s="56">
        <v>1</v>
      </c>
      <c r="F101" s="56"/>
      <c r="G101" s="56"/>
      <c r="H101" s="56"/>
      <c r="I101" s="56"/>
      <c r="J101" s="56"/>
      <c r="K101" s="56"/>
      <c r="L101" s="56"/>
      <c r="M101" s="56"/>
      <c r="N101" s="56"/>
      <c r="O101" s="52">
        <f t="shared" si="1"/>
        <v>1</v>
      </c>
    </row>
    <row r="102" spans="1:15">
      <c r="A102" s="47" t="s">
        <v>896</v>
      </c>
      <c r="B102" s="31" t="s">
        <v>897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2">
        <f t="shared" si="1"/>
        <v>0</v>
      </c>
    </row>
    <row r="103" spans="1:15">
      <c r="A103" s="47" t="s">
        <v>898</v>
      </c>
      <c r="B103" s="31" t="s">
        <v>899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2">
        <f t="shared" si="1"/>
        <v>0</v>
      </c>
    </row>
    <row r="104" spans="1:15">
      <c r="A104" s="47" t="s">
        <v>900</v>
      </c>
      <c r="B104" s="31" t="s">
        <v>901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2">
        <f t="shared" si="1"/>
        <v>0</v>
      </c>
    </row>
    <row r="105" spans="1:15">
      <c r="A105" s="47" t="s">
        <v>902</v>
      </c>
      <c r="B105" s="31" t="s">
        <v>903</v>
      </c>
      <c r="C105" s="56"/>
      <c r="D105" s="56"/>
      <c r="E105" s="56"/>
      <c r="F105" s="56"/>
      <c r="G105" s="56">
        <v>1</v>
      </c>
      <c r="H105" s="56"/>
      <c r="I105" s="56"/>
      <c r="J105" s="56"/>
      <c r="K105" s="56"/>
      <c r="L105" s="56"/>
      <c r="M105" s="56">
        <v>1</v>
      </c>
      <c r="N105" s="56"/>
      <c r="O105" s="52">
        <f t="shared" si="1"/>
        <v>2</v>
      </c>
    </row>
    <row r="106" spans="1:15">
      <c r="A106" s="47" t="s">
        <v>904</v>
      </c>
      <c r="B106" s="31" t="s">
        <v>905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2">
        <f t="shared" si="1"/>
        <v>0</v>
      </c>
    </row>
    <row r="107" spans="1:15">
      <c r="A107" s="48">
        <v>498510104</v>
      </c>
      <c r="B107" s="31" t="s">
        <v>1219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>
        <v>1</v>
      </c>
      <c r="M107" s="56"/>
      <c r="N107" s="56"/>
      <c r="O107" s="52">
        <f t="shared" si="1"/>
        <v>1</v>
      </c>
    </row>
    <row r="108" spans="1:15">
      <c r="A108" s="48">
        <v>498510107</v>
      </c>
      <c r="B108" s="31" t="s">
        <v>1215</v>
      </c>
      <c r="C108" s="56"/>
      <c r="D108" s="56"/>
      <c r="E108" s="56"/>
      <c r="F108" s="56"/>
      <c r="G108" s="56"/>
      <c r="H108" s="56"/>
      <c r="I108" s="56"/>
      <c r="J108" s="56"/>
      <c r="K108" s="56">
        <v>1</v>
      </c>
      <c r="L108" s="56">
        <v>1</v>
      </c>
      <c r="M108" s="56"/>
      <c r="N108" s="56"/>
      <c r="O108" s="52">
        <f t="shared" si="1"/>
        <v>2</v>
      </c>
    </row>
    <row r="109" spans="1:15">
      <c r="A109" s="48">
        <v>498510108</v>
      </c>
      <c r="B109" s="31" t="s">
        <v>1214</v>
      </c>
      <c r="C109" s="56"/>
      <c r="D109" s="56"/>
      <c r="E109" s="56"/>
      <c r="F109" s="56"/>
      <c r="G109" s="56"/>
      <c r="H109" s="56"/>
      <c r="I109" s="56"/>
      <c r="J109" s="56"/>
      <c r="K109" s="56">
        <v>1</v>
      </c>
      <c r="L109" s="56"/>
      <c r="M109" s="56"/>
      <c r="N109" s="56"/>
      <c r="O109" s="52">
        <f t="shared" si="1"/>
        <v>1</v>
      </c>
    </row>
    <row r="110" spans="1:15">
      <c r="A110" s="48">
        <v>498510111</v>
      </c>
      <c r="B110" s="31" t="s">
        <v>1217</v>
      </c>
      <c r="C110" s="56"/>
      <c r="D110" s="56"/>
      <c r="E110" s="56"/>
      <c r="F110" s="56"/>
      <c r="G110" s="56"/>
      <c r="H110" s="56"/>
      <c r="I110" s="56"/>
      <c r="J110" s="56"/>
      <c r="K110" s="56">
        <v>1</v>
      </c>
      <c r="L110" s="56">
        <v>1</v>
      </c>
      <c r="M110" s="56"/>
      <c r="N110" s="56"/>
      <c r="O110" s="52">
        <f t="shared" si="1"/>
        <v>2</v>
      </c>
    </row>
    <row r="111" spans="1:15">
      <c r="O111" s="52">
        <f t="shared" si="1"/>
        <v>0</v>
      </c>
    </row>
    <row r="112" spans="1:15">
      <c r="A112" s="49" t="s">
        <v>907</v>
      </c>
      <c r="H112" s="53" t="s">
        <v>909</v>
      </c>
      <c r="O112" s="52">
        <f t="shared" si="1"/>
        <v>0</v>
      </c>
    </row>
    <row r="113" spans="1:15">
      <c r="A113" s="2" t="s">
        <v>1209</v>
      </c>
    </row>
    <row r="114" spans="1:15">
      <c r="A114" s="2" t="s">
        <v>910</v>
      </c>
      <c r="B114" s="2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0"/>
    </row>
    <row r="115" spans="1:15">
      <c r="A115" s="2" t="s">
        <v>1210</v>
      </c>
    </row>
    <row r="116" spans="1:15">
      <c r="A116" s="2" t="s">
        <v>915</v>
      </c>
      <c r="B116" s="2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</row>
    <row r="117" spans="1:15">
      <c r="A117" s="2" t="s">
        <v>1211</v>
      </c>
    </row>
    <row r="118" spans="1:15" s="2" customFormat="1">
      <c r="A118" s="2" t="s">
        <v>1212</v>
      </c>
      <c r="C118" s="59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</row>
    <row r="119" spans="1:15" s="2" customFormat="1">
      <c r="A119" s="2" t="s">
        <v>1120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</row>
    <row r="120" spans="1:15" s="2" customFormat="1">
      <c r="A120" s="2" t="s">
        <v>1213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</row>
    <row r="121" spans="1:15" s="2" customFormat="1">
      <c r="A121" s="129" t="s">
        <v>1204</v>
      </c>
      <c r="B121" s="129"/>
      <c r="C121" s="129"/>
      <c r="D121" s="129"/>
      <c r="E121" s="129"/>
      <c r="F121" s="129"/>
      <c r="G121" s="129"/>
      <c r="H121" s="50"/>
      <c r="I121" s="50"/>
      <c r="J121" s="50"/>
      <c r="K121" s="50"/>
      <c r="L121" s="50"/>
      <c r="M121" s="50"/>
      <c r="N121" s="50"/>
      <c r="O121" s="50"/>
    </row>
    <row r="122" spans="1:15">
      <c r="A122" s="129" t="s">
        <v>1218</v>
      </c>
      <c r="B122" s="129"/>
      <c r="C122" s="129"/>
      <c r="D122" s="129"/>
      <c r="E122" s="129"/>
      <c r="F122" s="129"/>
      <c r="G122" s="129"/>
    </row>
    <row r="123" spans="1:15">
      <c r="A123" s="2" t="s">
        <v>1223</v>
      </c>
    </row>
    <row r="124" spans="1:15">
      <c r="A124" s="2" t="s">
        <v>1364</v>
      </c>
    </row>
    <row r="125" spans="1:15">
      <c r="A125" s="2" t="s">
        <v>1482</v>
      </c>
    </row>
  </sheetData>
  <mergeCells count="2">
    <mergeCell ref="A121:G121"/>
    <mergeCell ref="A122:G12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opLeftCell="A13" workbookViewId="0">
      <selection activeCell="B13" sqref="B13"/>
    </sheetView>
  </sheetViews>
  <sheetFormatPr defaultRowHeight="16.2"/>
  <cols>
    <col min="1" max="1" width="10" style="2" customWidth="1"/>
    <col min="2" max="2" width="9" style="2"/>
    <col min="3" max="13" width="6.109375" style="2" customWidth="1"/>
  </cols>
  <sheetData>
    <row r="1" spans="1:17">
      <c r="A1" s="1" t="s">
        <v>700</v>
      </c>
      <c r="C1" s="8">
        <f>MAX(M3:M102)</f>
        <v>5</v>
      </c>
    </row>
    <row r="2" spans="1:17">
      <c r="A2" s="27" t="s">
        <v>646</v>
      </c>
      <c r="B2" s="27" t="s">
        <v>661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8" t="s">
        <v>143</v>
      </c>
      <c r="N2" s="7"/>
      <c r="O2" s="7"/>
      <c r="P2" s="7"/>
      <c r="Q2" s="7"/>
    </row>
    <row r="3" spans="1:17">
      <c r="A3" s="11" t="s">
        <v>383</v>
      </c>
      <c r="B3" s="17" t="s">
        <v>384</v>
      </c>
      <c r="C3" s="10">
        <v>1</v>
      </c>
      <c r="D3" s="10"/>
      <c r="E3" s="10"/>
      <c r="F3" s="10"/>
      <c r="G3" s="10"/>
      <c r="H3" s="10"/>
      <c r="I3" s="10"/>
      <c r="J3" s="10"/>
      <c r="K3" s="10"/>
      <c r="L3" s="10"/>
      <c r="M3" s="10">
        <f>SUM(C3:K3)</f>
        <v>1</v>
      </c>
      <c r="N3" s="7"/>
      <c r="O3" s="7"/>
      <c r="P3" s="7"/>
      <c r="Q3" s="7"/>
    </row>
    <row r="4" spans="1:17">
      <c r="A4" s="11" t="s">
        <v>214</v>
      </c>
      <c r="B4" s="17" t="s">
        <v>215</v>
      </c>
      <c r="C4" s="10">
        <v>0</v>
      </c>
      <c r="D4" s="10">
        <v>-0.5</v>
      </c>
      <c r="E4" s="10"/>
      <c r="F4" s="10"/>
      <c r="G4" s="10"/>
      <c r="H4" s="10"/>
      <c r="I4" s="10"/>
      <c r="J4" s="10"/>
      <c r="K4" s="10"/>
      <c r="L4" s="10"/>
      <c r="M4" s="10">
        <f t="shared" ref="M4:M67" si="0">SUM(C4:K4)</f>
        <v>-0.5</v>
      </c>
      <c r="N4" s="7"/>
      <c r="O4" s="7"/>
      <c r="P4" s="7"/>
      <c r="Q4" s="7"/>
    </row>
    <row r="5" spans="1:17">
      <c r="A5" s="11" t="s">
        <v>14</v>
      </c>
      <c r="B5" s="17" t="s">
        <v>15</v>
      </c>
      <c r="C5" s="10">
        <v>1</v>
      </c>
      <c r="D5" s="10"/>
      <c r="E5" s="10"/>
      <c r="F5" s="10"/>
      <c r="G5" s="10"/>
      <c r="H5" s="10">
        <v>1</v>
      </c>
      <c r="I5" s="10"/>
      <c r="J5" s="10"/>
      <c r="K5" s="10"/>
      <c r="L5" s="10"/>
      <c r="M5" s="10">
        <f t="shared" si="0"/>
        <v>2</v>
      </c>
      <c r="N5" s="7"/>
      <c r="O5" s="7"/>
      <c r="P5" s="7"/>
      <c r="Q5" s="7"/>
    </row>
    <row r="6" spans="1:17">
      <c r="A6" s="11" t="s">
        <v>28</v>
      </c>
      <c r="B6" s="17" t="s">
        <v>29</v>
      </c>
      <c r="C6" s="10">
        <v>1</v>
      </c>
      <c r="D6" s="10"/>
      <c r="E6" s="10"/>
      <c r="F6" s="10"/>
      <c r="G6" s="10"/>
      <c r="H6" s="10"/>
      <c r="I6" s="10"/>
      <c r="J6" s="10"/>
      <c r="K6" s="10"/>
      <c r="L6" s="10"/>
      <c r="M6" s="10">
        <f t="shared" si="0"/>
        <v>1</v>
      </c>
      <c r="N6" s="7"/>
      <c r="O6" s="7"/>
      <c r="P6" s="7"/>
      <c r="Q6" s="7"/>
    </row>
    <row r="7" spans="1:17">
      <c r="A7" s="11" t="s">
        <v>16</v>
      </c>
      <c r="B7" s="17" t="s">
        <v>17</v>
      </c>
      <c r="C7" s="10">
        <v>1</v>
      </c>
      <c r="D7" s="10"/>
      <c r="E7" s="10"/>
      <c r="F7" s="10"/>
      <c r="G7" s="10"/>
      <c r="H7" s="10">
        <v>1</v>
      </c>
      <c r="I7" s="10"/>
      <c r="J7" s="10"/>
      <c r="K7" s="10"/>
      <c r="L7" s="10"/>
      <c r="M7" s="10">
        <f t="shared" si="0"/>
        <v>2</v>
      </c>
      <c r="N7" s="7"/>
      <c r="O7" s="7"/>
      <c r="P7" s="7"/>
      <c r="Q7" s="7"/>
    </row>
    <row r="8" spans="1:17">
      <c r="A8" s="11" t="s">
        <v>30</v>
      </c>
      <c r="B8" s="17" t="s">
        <v>31</v>
      </c>
      <c r="C8" s="10">
        <v>1</v>
      </c>
      <c r="D8" s="10"/>
      <c r="E8" s="10"/>
      <c r="F8" s="10"/>
      <c r="G8" s="10"/>
      <c r="H8" s="10"/>
      <c r="I8" s="10"/>
      <c r="J8" s="10"/>
      <c r="K8" s="10"/>
      <c r="L8" s="10"/>
      <c r="M8" s="10">
        <f t="shared" si="0"/>
        <v>1</v>
      </c>
      <c r="N8" s="7"/>
      <c r="O8" s="7"/>
      <c r="P8" s="7"/>
      <c r="Q8" s="7"/>
    </row>
    <row r="9" spans="1:17">
      <c r="A9" s="11" t="s">
        <v>18</v>
      </c>
      <c r="B9" s="17" t="s">
        <v>19</v>
      </c>
      <c r="C9" s="10">
        <v>1</v>
      </c>
      <c r="D9" s="10"/>
      <c r="E9" s="10"/>
      <c r="F9" s="10"/>
      <c r="G9" s="10"/>
      <c r="H9" s="10"/>
      <c r="I9" s="10"/>
      <c r="J9" s="10"/>
      <c r="K9" s="10"/>
      <c r="L9" s="10"/>
      <c r="M9" s="10">
        <f t="shared" si="0"/>
        <v>1</v>
      </c>
      <c r="N9" s="7"/>
      <c r="O9" s="7"/>
      <c r="P9" s="7"/>
      <c r="Q9" s="7"/>
    </row>
    <row r="10" spans="1:17">
      <c r="A10" s="11" t="s">
        <v>32</v>
      </c>
      <c r="B10" s="17" t="s">
        <v>33</v>
      </c>
      <c r="C10" s="10">
        <v>1</v>
      </c>
      <c r="D10" s="10"/>
      <c r="E10" s="10"/>
      <c r="F10" s="10">
        <v>1</v>
      </c>
      <c r="G10" s="10"/>
      <c r="H10" s="10"/>
      <c r="I10" s="10"/>
      <c r="J10" s="10"/>
      <c r="K10" s="10"/>
      <c r="L10" s="10"/>
      <c r="M10" s="10">
        <f t="shared" si="0"/>
        <v>2</v>
      </c>
      <c r="N10" s="7"/>
      <c r="O10" s="7"/>
      <c r="P10" s="7"/>
      <c r="Q10" s="7"/>
    </row>
    <row r="11" spans="1:17">
      <c r="A11" s="11" t="s">
        <v>20</v>
      </c>
      <c r="B11" s="17" t="s">
        <v>21</v>
      </c>
      <c r="C11" s="10">
        <v>1</v>
      </c>
      <c r="D11" s="10"/>
      <c r="E11" s="10"/>
      <c r="F11" s="10"/>
      <c r="G11" s="10"/>
      <c r="H11" s="10"/>
      <c r="I11" s="10">
        <v>1</v>
      </c>
      <c r="J11" s="10">
        <v>1</v>
      </c>
      <c r="K11" s="10"/>
      <c r="L11" s="10"/>
      <c r="M11" s="10">
        <f t="shared" si="0"/>
        <v>3</v>
      </c>
      <c r="N11" s="7"/>
      <c r="O11" s="7"/>
      <c r="P11" s="7"/>
      <c r="Q11" s="7"/>
    </row>
    <row r="12" spans="1:17">
      <c r="A12" s="11" t="s">
        <v>34</v>
      </c>
      <c r="B12" s="17" t="s">
        <v>35</v>
      </c>
      <c r="C12" s="10">
        <v>1</v>
      </c>
      <c r="D12" s="10"/>
      <c r="E12" s="10"/>
      <c r="F12" s="10"/>
      <c r="G12" s="10"/>
      <c r="H12" s="10"/>
      <c r="I12" s="10"/>
      <c r="J12" s="10"/>
      <c r="K12" s="10"/>
      <c r="L12" s="10"/>
      <c r="M12" s="10">
        <f t="shared" si="0"/>
        <v>1</v>
      </c>
      <c r="N12" s="7"/>
      <c r="O12" s="7"/>
      <c r="P12" s="7"/>
      <c r="Q12" s="7"/>
    </row>
    <row r="13" spans="1:17">
      <c r="A13" s="11" t="s">
        <v>22</v>
      </c>
      <c r="B13" s="17" t="s">
        <v>23</v>
      </c>
      <c r="C13" s="10">
        <v>1</v>
      </c>
      <c r="D13" s="10"/>
      <c r="E13" s="10"/>
      <c r="F13" s="10"/>
      <c r="G13" s="10">
        <v>1</v>
      </c>
      <c r="H13" s="10"/>
      <c r="I13" s="10">
        <v>1</v>
      </c>
      <c r="J13" s="10"/>
      <c r="K13" s="10"/>
      <c r="L13" s="10"/>
      <c r="M13" s="10">
        <f t="shared" si="0"/>
        <v>3</v>
      </c>
      <c r="N13" s="7"/>
      <c r="O13" s="7"/>
      <c r="P13" s="7"/>
      <c r="Q13" s="7"/>
    </row>
    <row r="14" spans="1:17">
      <c r="A14" s="11" t="s">
        <v>36</v>
      </c>
      <c r="B14" s="17" t="s">
        <v>37</v>
      </c>
      <c r="C14" s="10">
        <v>1</v>
      </c>
      <c r="D14" s="10"/>
      <c r="E14" s="10"/>
      <c r="F14" s="10"/>
      <c r="G14" s="10"/>
      <c r="H14" s="10"/>
      <c r="I14" s="10">
        <v>1</v>
      </c>
      <c r="J14" s="10"/>
      <c r="K14" s="10"/>
      <c r="L14" s="10"/>
      <c r="M14" s="10">
        <f t="shared" si="0"/>
        <v>2</v>
      </c>
      <c r="N14" s="7"/>
      <c r="O14" s="7"/>
      <c r="P14" s="7"/>
      <c r="Q14" s="7"/>
    </row>
    <row r="15" spans="1:17">
      <c r="A15" s="11" t="s">
        <v>24</v>
      </c>
      <c r="B15" s="17" t="s">
        <v>25</v>
      </c>
      <c r="C15" s="10"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>
        <f t="shared" si="0"/>
        <v>1</v>
      </c>
      <c r="N15" s="7"/>
      <c r="O15" s="7"/>
      <c r="P15" s="7"/>
      <c r="Q15" s="7"/>
    </row>
    <row r="16" spans="1:17">
      <c r="A16" s="11" t="s">
        <v>253</v>
      </c>
      <c r="B16" s="17" t="s">
        <v>141</v>
      </c>
      <c r="C16" s="10">
        <v>1</v>
      </c>
      <c r="D16" s="10"/>
      <c r="E16" s="10"/>
      <c r="F16" s="10"/>
      <c r="G16" s="10"/>
      <c r="H16" s="10"/>
      <c r="I16" s="10"/>
      <c r="J16" s="10"/>
      <c r="K16" s="10"/>
      <c r="L16" s="10"/>
      <c r="M16" s="10">
        <f t="shared" si="0"/>
        <v>1</v>
      </c>
      <c r="N16" s="7"/>
      <c r="O16" s="7"/>
      <c r="P16" s="7"/>
      <c r="Q16" s="7"/>
    </row>
    <row r="17" spans="1:17">
      <c r="A17" s="11" t="s">
        <v>254</v>
      </c>
      <c r="B17" s="17" t="s">
        <v>255</v>
      </c>
      <c r="C17" s="10">
        <v>1</v>
      </c>
      <c r="D17" s="10"/>
      <c r="E17" s="10"/>
      <c r="F17" s="10"/>
      <c r="G17" s="10"/>
      <c r="H17" s="10"/>
      <c r="I17" s="10">
        <v>1</v>
      </c>
      <c r="J17" s="10">
        <v>1</v>
      </c>
      <c r="K17" s="10"/>
      <c r="L17" s="10"/>
      <c r="M17" s="10">
        <f t="shared" si="0"/>
        <v>3</v>
      </c>
      <c r="N17" s="7"/>
      <c r="O17" s="7"/>
      <c r="P17" s="7"/>
      <c r="Q17" s="7"/>
    </row>
    <row r="18" spans="1:17">
      <c r="A18" s="11" t="s">
        <v>26</v>
      </c>
      <c r="B18" s="17" t="s">
        <v>27</v>
      </c>
      <c r="C18" s="10">
        <v>1</v>
      </c>
      <c r="D18" s="10"/>
      <c r="E18" s="10"/>
      <c r="F18" s="10"/>
      <c r="G18" s="10"/>
      <c r="H18" s="10"/>
      <c r="I18" s="10"/>
      <c r="J18" s="10"/>
      <c r="K18" s="10"/>
      <c r="L18" s="10"/>
      <c r="M18" s="10">
        <f t="shared" si="0"/>
        <v>1</v>
      </c>
      <c r="N18" s="7"/>
      <c r="O18" s="7"/>
      <c r="P18" s="7"/>
      <c r="Q18" s="7"/>
    </row>
    <row r="19" spans="1:17">
      <c r="A19" s="11" t="s">
        <v>256</v>
      </c>
      <c r="B19" s="17" t="s">
        <v>257</v>
      </c>
      <c r="C19" s="10">
        <v>1</v>
      </c>
      <c r="D19" s="10"/>
      <c r="E19" s="10"/>
      <c r="F19" s="10"/>
      <c r="G19" s="10"/>
      <c r="H19" s="10"/>
      <c r="I19" s="10"/>
      <c r="J19" s="10"/>
      <c r="K19" s="10"/>
      <c r="L19" s="10"/>
      <c r="M19" s="10">
        <f t="shared" si="0"/>
        <v>1</v>
      </c>
      <c r="N19" s="7"/>
      <c r="O19" s="7"/>
      <c r="P19" s="7"/>
      <c r="Q19" s="7"/>
    </row>
    <row r="20" spans="1:17">
      <c r="A20" s="11" t="s">
        <v>47</v>
      </c>
      <c r="B20" s="17" t="s">
        <v>48</v>
      </c>
      <c r="C20" s="10">
        <v>1</v>
      </c>
      <c r="D20" s="10"/>
      <c r="E20" s="10"/>
      <c r="F20" s="10"/>
      <c r="G20" s="10"/>
      <c r="H20" s="10"/>
      <c r="I20" s="10"/>
      <c r="J20" s="10"/>
      <c r="K20" s="10"/>
      <c r="L20" s="10"/>
      <c r="M20" s="10">
        <f t="shared" si="0"/>
        <v>1</v>
      </c>
      <c r="N20" s="7"/>
      <c r="O20" s="7"/>
      <c r="P20" s="7"/>
      <c r="Q20" s="7"/>
    </row>
    <row r="21" spans="1:17">
      <c r="A21" s="11" t="s">
        <v>258</v>
      </c>
      <c r="B21" s="17" t="s">
        <v>259</v>
      </c>
      <c r="C21" s="10">
        <v>1</v>
      </c>
      <c r="D21" s="10"/>
      <c r="E21" s="10"/>
      <c r="F21" s="10"/>
      <c r="G21" s="10"/>
      <c r="H21" s="10"/>
      <c r="I21" s="10"/>
      <c r="J21" s="10"/>
      <c r="K21" s="10"/>
      <c r="L21" s="10"/>
      <c r="M21" s="10">
        <f t="shared" si="0"/>
        <v>1</v>
      </c>
      <c r="N21" s="7"/>
      <c r="O21" s="7"/>
      <c r="P21" s="7"/>
      <c r="Q21" s="7"/>
    </row>
    <row r="22" spans="1:17">
      <c r="A22" s="11" t="s">
        <v>49</v>
      </c>
      <c r="B22" s="17" t="s">
        <v>50</v>
      </c>
      <c r="C22" s="10">
        <v>1</v>
      </c>
      <c r="D22" s="10"/>
      <c r="E22" s="10"/>
      <c r="F22" s="10">
        <v>1</v>
      </c>
      <c r="G22" s="10"/>
      <c r="H22" s="10"/>
      <c r="I22" s="10"/>
      <c r="J22" s="10"/>
      <c r="K22" s="10"/>
      <c r="L22" s="10"/>
      <c r="M22" s="10">
        <f t="shared" si="0"/>
        <v>2</v>
      </c>
      <c r="N22" s="7"/>
      <c r="O22" s="7"/>
      <c r="P22" s="7"/>
      <c r="Q22" s="7"/>
    </row>
    <row r="23" spans="1:17">
      <c r="A23" s="11" t="s">
        <v>260</v>
      </c>
      <c r="B23" s="17" t="s">
        <v>261</v>
      </c>
      <c r="C23" s="10">
        <v>1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f t="shared" si="0"/>
        <v>1</v>
      </c>
      <c r="N23" s="7"/>
      <c r="O23" s="7"/>
      <c r="P23" s="7"/>
      <c r="Q23" s="7"/>
    </row>
    <row r="24" spans="1:17">
      <c r="A24" s="11" t="s">
        <v>51</v>
      </c>
      <c r="B24" s="17" t="s">
        <v>52</v>
      </c>
      <c r="C24" s="10">
        <v>1</v>
      </c>
      <c r="D24" s="10"/>
      <c r="E24" s="10"/>
      <c r="F24" s="10"/>
      <c r="G24" s="10"/>
      <c r="H24" s="10"/>
      <c r="I24" s="10"/>
      <c r="J24" s="10"/>
      <c r="K24" s="10"/>
      <c r="L24" s="10"/>
      <c r="M24" s="10">
        <f t="shared" si="0"/>
        <v>1</v>
      </c>
      <c r="N24" s="7"/>
      <c r="O24" s="7"/>
      <c r="P24" s="7"/>
      <c r="Q24" s="7"/>
    </row>
    <row r="25" spans="1:17">
      <c r="A25" s="11" t="s">
        <v>262</v>
      </c>
      <c r="B25" s="17" t="s">
        <v>263</v>
      </c>
      <c r="C25" s="10">
        <v>1</v>
      </c>
      <c r="D25" s="10"/>
      <c r="E25" s="10"/>
      <c r="F25" s="10"/>
      <c r="G25" s="10"/>
      <c r="H25" s="10"/>
      <c r="I25" s="10"/>
      <c r="J25" s="10"/>
      <c r="K25" s="10"/>
      <c r="L25" s="10"/>
      <c r="M25" s="10">
        <f t="shared" si="0"/>
        <v>1</v>
      </c>
      <c r="N25" s="7"/>
      <c r="O25" s="7"/>
      <c r="P25" s="7"/>
      <c r="Q25" s="7"/>
    </row>
    <row r="26" spans="1:17">
      <c r="A26" s="11" t="s">
        <v>53</v>
      </c>
      <c r="B26" s="17" t="s">
        <v>54</v>
      </c>
      <c r="C26" s="10"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>
        <f t="shared" si="0"/>
        <v>1</v>
      </c>
      <c r="N26" s="7"/>
      <c r="O26" s="7"/>
      <c r="P26" s="7"/>
      <c r="Q26" s="7"/>
    </row>
    <row r="27" spans="1:17">
      <c r="A27" s="11" t="s">
        <v>264</v>
      </c>
      <c r="B27" s="17" t="s">
        <v>97</v>
      </c>
      <c r="C27" s="10">
        <v>1</v>
      </c>
      <c r="D27" s="10"/>
      <c r="E27" s="10"/>
      <c r="F27" s="10"/>
      <c r="G27" s="10"/>
      <c r="H27" s="10"/>
      <c r="I27" s="10"/>
      <c r="J27" s="10"/>
      <c r="K27" s="10"/>
      <c r="L27" s="10"/>
      <c r="M27" s="10">
        <f t="shared" si="0"/>
        <v>1</v>
      </c>
      <c r="N27" s="7"/>
      <c r="O27" s="7"/>
      <c r="P27" s="7"/>
      <c r="Q27" s="7"/>
    </row>
    <row r="28" spans="1:17">
      <c r="A28" s="11" t="s">
        <v>55</v>
      </c>
      <c r="B28" s="17" t="s">
        <v>56</v>
      </c>
      <c r="C28" s="10"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>
        <f t="shared" si="0"/>
        <v>1</v>
      </c>
      <c r="N28" s="7"/>
      <c r="O28" s="7"/>
      <c r="P28" s="7"/>
      <c r="Q28" s="7"/>
    </row>
    <row r="29" spans="1:17">
      <c r="A29" s="11" t="s">
        <v>265</v>
      </c>
      <c r="B29" s="17" t="s">
        <v>266</v>
      </c>
      <c r="C29" s="10">
        <v>1</v>
      </c>
      <c r="D29" s="10"/>
      <c r="E29" s="10"/>
      <c r="F29" s="10"/>
      <c r="G29" s="10">
        <v>1</v>
      </c>
      <c r="H29" s="10"/>
      <c r="I29" s="10"/>
      <c r="J29" s="10"/>
      <c r="K29" s="10"/>
      <c r="L29" s="10"/>
      <c r="M29" s="10">
        <f t="shared" si="0"/>
        <v>2</v>
      </c>
      <c r="N29" s="7"/>
      <c r="O29" s="7"/>
      <c r="P29" s="7"/>
      <c r="Q29" s="7"/>
    </row>
    <row r="30" spans="1:17">
      <c r="A30" s="11" t="s">
        <v>57</v>
      </c>
      <c r="B30" s="17" t="s">
        <v>58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10">
        <f t="shared" si="0"/>
        <v>1</v>
      </c>
      <c r="N30" s="7"/>
      <c r="O30" s="7"/>
      <c r="P30" s="7"/>
      <c r="Q30" s="7"/>
    </row>
    <row r="31" spans="1:17">
      <c r="A31" s="11" t="s">
        <v>267</v>
      </c>
      <c r="B31" s="17" t="s">
        <v>268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>
        <f t="shared" si="0"/>
        <v>1</v>
      </c>
      <c r="N31" s="7"/>
      <c r="O31" s="7"/>
      <c r="P31" s="7"/>
      <c r="Q31" s="7"/>
    </row>
    <row r="32" spans="1:17">
      <c r="A32" s="11" t="s">
        <v>59</v>
      </c>
      <c r="B32" s="17" t="s">
        <v>60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10">
        <f t="shared" si="0"/>
        <v>1</v>
      </c>
      <c r="N32" s="7"/>
      <c r="O32" s="7"/>
      <c r="P32" s="7"/>
      <c r="Q32" s="7"/>
    </row>
    <row r="33" spans="1:17">
      <c r="A33" s="11" t="s">
        <v>269</v>
      </c>
      <c r="B33" s="17" t="s">
        <v>270</v>
      </c>
      <c r="C33" s="10">
        <v>1</v>
      </c>
      <c r="D33" s="10"/>
      <c r="E33" s="10"/>
      <c r="F33" s="10">
        <v>1</v>
      </c>
      <c r="G33" s="10"/>
      <c r="H33" s="10"/>
      <c r="I33" s="10"/>
      <c r="J33" s="10"/>
      <c r="K33" s="10"/>
      <c r="L33" s="10"/>
      <c r="M33" s="10">
        <f t="shared" si="0"/>
        <v>2</v>
      </c>
      <c r="N33" s="7"/>
      <c r="O33" s="7"/>
      <c r="P33" s="7"/>
      <c r="Q33" s="7"/>
    </row>
    <row r="34" spans="1:17">
      <c r="A34" s="11" t="s">
        <v>61</v>
      </c>
      <c r="B34" s="17" t="s">
        <v>62</v>
      </c>
      <c r="C34" s="10"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>
        <f t="shared" si="0"/>
        <v>0</v>
      </c>
      <c r="N34" s="7"/>
      <c r="O34" s="7"/>
      <c r="P34" s="7"/>
      <c r="Q34" s="7"/>
    </row>
    <row r="35" spans="1:17">
      <c r="A35" s="11" t="s">
        <v>271</v>
      </c>
      <c r="B35" s="17" t="s">
        <v>272</v>
      </c>
      <c r="C35" s="10">
        <v>1</v>
      </c>
      <c r="D35" s="10">
        <v>1</v>
      </c>
      <c r="E35" s="10"/>
      <c r="F35" s="10"/>
      <c r="G35" s="10">
        <v>1</v>
      </c>
      <c r="H35" s="10"/>
      <c r="I35" s="10"/>
      <c r="J35" s="10"/>
      <c r="K35" s="10"/>
      <c r="L35" s="10"/>
      <c r="M35" s="10">
        <f t="shared" si="0"/>
        <v>3</v>
      </c>
      <c r="N35" s="7"/>
      <c r="O35" s="7"/>
      <c r="P35" s="7"/>
      <c r="Q35" s="7"/>
    </row>
    <row r="36" spans="1:17">
      <c r="A36" s="11" t="s">
        <v>63</v>
      </c>
      <c r="B36" s="17" t="s">
        <v>64</v>
      </c>
      <c r="C36" s="10">
        <v>1</v>
      </c>
      <c r="D36" s="10"/>
      <c r="E36" s="10"/>
      <c r="F36" s="10">
        <v>1</v>
      </c>
      <c r="G36" s="10"/>
      <c r="H36" s="10"/>
      <c r="I36" s="10"/>
      <c r="J36" s="10">
        <v>1</v>
      </c>
      <c r="K36" s="10"/>
      <c r="L36" s="10"/>
      <c r="M36" s="10">
        <f t="shared" si="0"/>
        <v>3</v>
      </c>
      <c r="N36" s="7"/>
      <c r="O36" s="7"/>
      <c r="P36" s="7"/>
      <c r="Q36" s="7"/>
    </row>
    <row r="37" spans="1:17">
      <c r="A37" s="11" t="s">
        <v>273</v>
      </c>
      <c r="B37" s="17" t="s">
        <v>274</v>
      </c>
      <c r="C37" s="10">
        <v>1</v>
      </c>
      <c r="D37" s="10"/>
      <c r="E37" s="10"/>
      <c r="F37" s="10"/>
      <c r="G37" s="10"/>
      <c r="H37" s="10"/>
      <c r="I37" s="10"/>
      <c r="J37" s="10"/>
      <c r="K37" s="10"/>
      <c r="L37" s="10"/>
      <c r="M37" s="10">
        <f t="shared" si="0"/>
        <v>1</v>
      </c>
      <c r="N37" s="7"/>
      <c r="O37" s="7"/>
      <c r="P37" s="7"/>
      <c r="Q37" s="7"/>
    </row>
    <row r="38" spans="1:17">
      <c r="A38" s="11" t="s">
        <v>65</v>
      </c>
      <c r="B38" s="17" t="s">
        <v>66</v>
      </c>
      <c r="C38" s="10"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>
        <f t="shared" si="0"/>
        <v>1</v>
      </c>
      <c r="N38" s="7"/>
      <c r="O38" s="7"/>
      <c r="P38" s="7"/>
      <c r="Q38" s="7"/>
    </row>
    <row r="39" spans="1:17">
      <c r="A39" s="11" t="s">
        <v>275</v>
      </c>
      <c r="B39" s="17" t="s">
        <v>276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10">
        <f t="shared" si="0"/>
        <v>1</v>
      </c>
      <c r="N39" s="7"/>
      <c r="O39" s="7"/>
      <c r="P39" s="7"/>
      <c r="Q39" s="7"/>
    </row>
    <row r="40" spans="1:17">
      <c r="A40" s="11" t="s">
        <v>67</v>
      </c>
      <c r="B40" s="17" t="s">
        <v>68</v>
      </c>
      <c r="C40" s="10">
        <v>1</v>
      </c>
      <c r="D40" s="10"/>
      <c r="E40" s="10"/>
      <c r="F40" s="10"/>
      <c r="G40" s="10"/>
      <c r="H40" s="10"/>
      <c r="I40" s="10"/>
      <c r="J40" s="10"/>
      <c r="K40" s="10"/>
      <c r="L40" s="10"/>
      <c r="M40" s="10">
        <f t="shared" si="0"/>
        <v>1</v>
      </c>
      <c r="N40" s="7"/>
      <c r="O40" s="7"/>
      <c r="P40" s="7"/>
      <c r="Q40" s="7"/>
    </row>
    <row r="41" spans="1:17">
      <c r="A41" s="11" t="s">
        <v>277</v>
      </c>
      <c r="B41" s="17" t="s">
        <v>278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10">
        <f t="shared" si="0"/>
        <v>1</v>
      </c>
      <c r="N41" s="7"/>
      <c r="O41" s="7"/>
      <c r="P41" s="7"/>
      <c r="Q41" s="7"/>
    </row>
    <row r="42" spans="1:17">
      <c r="A42" s="11" t="s">
        <v>303</v>
      </c>
      <c r="B42" s="17" t="s">
        <v>304</v>
      </c>
      <c r="C42" s="10">
        <v>1</v>
      </c>
      <c r="D42" s="10"/>
      <c r="E42" s="10"/>
      <c r="F42" s="10"/>
      <c r="G42" s="10"/>
      <c r="H42" s="10"/>
      <c r="I42" s="10"/>
      <c r="J42" s="10">
        <v>1</v>
      </c>
      <c r="K42" s="10"/>
      <c r="L42" s="10"/>
      <c r="M42" s="10">
        <f t="shared" si="0"/>
        <v>2</v>
      </c>
      <c r="N42" s="7"/>
      <c r="O42" s="7"/>
      <c r="P42" s="7"/>
      <c r="Q42" s="7"/>
    </row>
    <row r="43" spans="1:17">
      <c r="A43" s="11" t="s">
        <v>279</v>
      </c>
      <c r="B43" s="17" t="s">
        <v>280</v>
      </c>
      <c r="C43" s="10">
        <v>1</v>
      </c>
      <c r="D43" s="10"/>
      <c r="E43" s="10"/>
      <c r="F43" s="10"/>
      <c r="G43" s="10"/>
      <c r="H43" s="10"/>
      <c r="I43" s="10"/>
      <c r="J43" s="10"/>
      <c r="K43" s="10"/>
      <c r="L43" s="10"/>
      <c r="M43" s="10">
        <f t="shared" si="0"/>
        <v>1</v>
      </c>
      <c r="N43" s="7"/>
      <c r="O43" s="7"/>
      <c r="P43" s="7"/>
      <c r="Q43" s="7"/>
    </row>
    <row r="44" spans="1:17">
      <c r="A44" s="11" t="s">
        <v>305</v>
      </c>
      <c r="B44" s="17" t="s">
        <v>306</v>
      </c>
      <c r="C44" s="10">
        <v>1</v>
      </c>
      <c r="D44" s="10"/>
      <c r="E44" s="10"/>
      <c r="F44" s="10"/>
      <c r="G44" s="10"/>
      <c r="H44" s="10"/>
      <c r="I44" s="10">
        <v>1</v>
      </c>
      <c r="J44" s="10"/>
      <c r="K44" s="10"/>
      <c r="L44" s="10"/>
      <c r="M44" s="10">
        <f t="shared" si="0"/>
        <v>2</v>
      </c>
      <c r="N44" s="7"/>
      <c r="O44" s="7"/>
      <c r="P44" s="7"/>
      <c r="Q44" s="7"/>
    </row>
    <row r="45" spans="1:17">
      <c r="A45" s="11" t="s">
        <v>281</v>
      </c>
      <c r="B45" s="17" t="s">
        <v>282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10">
        <f t="shared" si="0"/>
        <v>1</v>
      </c>
      <c r="N45" s="7"/>
      <c r="O45" s="7"/>
      <c r="P45" s="7"/>
      <c r="Q45" s="7"/>
    </row>
    <row r="46" spans="1:17">
      <c r="A46" s="11" t="s">
        <v>307</v>
      </c>
      <c r="B46" s="17" t="s">
        <v>308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10">
        <f t="shared" si="0"/>
        <v>1</v>
      </c>
      <c r="N46" s="7"/>
      <c r="O46" s="7"/>
      <c r="P46" s="7"/>
      <c r="Q46" s="7"/>
    </row>
    <row r="47" spans="1:17">
      <c r="A47" s="11" t="s">
        <v>283</v>
      </c>
      <c r="B47" s="17" t="s">
        <v>284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10">
        <f t="shared" si="0"/>
        <v>1</v>
      </c>
      <c r="N47" s="7"/>
      <c r="O47" s="7"/>
      <c r="P47" s="7"/>
      <c r="Q47" s="7"/>
    </row>
    <row r="48" spans="1:17">
      <c r="A48" s="11" t="s">
        <v>309</v>
      </c>
      <c r="B48" s="17" t="s">
        <v>310</v>
      </c>
      <c r="C48" s="10">
        <v>1</v>
      </c>
      <c r="D48" s="10"/>
      <c r="E48" s="10"/>
      <c r="F48" s="10"/>
      <c r="G48" s="10">
        <v>1</v>
      </c>
      <c r="H48" s="10"/>
      <c r="I48" s="10">
        <v>1</v>
      </c>
      <c r="J48" s="10"/>
      <c r="K48" s="10"/>
      <c r="L48" s="10"/>
      <c r="M48" s="10">
        <f t="shared" si="0"/>
        <v>3</v>
      </c>
      <c r="N48" s="7"/>
      <c r="O48" s="7"/>
      <c r="P48" s="7"/>
      <c r="Q48" s="7"/>
    </row>
    <row r="49" spans="1:17">
      <c r="A49" s="11" t="s">
        <v>409</v>
      </c>
      <c r="B49" s="17" t="s">
        <v>410</v>
      </c>
      <c r="C49" s="10">
        <v>1</v>
      </c>
      <c r="D49" s="10"/>
      <c r="E49" s="10">
        <v>1</v>
      </c>
      <c r="F49" s="10"/>
      <c r="G49" s="10"/>
      <c r="H49" s="10"/>
      <c r="I49" s="10"/>
      <c r="J49" s="10"/>
      <c r="K49" s="10"/>
      <c r="L49" s="10"/>
      <c r="M49" s="10">
        <f t="shared" si="0"/>
        <v>2</v>
      </c>
      <c r="N49" s="7"/>
      <c r="O49" s="7"/>
      <c r="P49" s="7"/>
      <c r="Q49" s="7"/>
    </row>
    <row r="50" spans="1:17">
      <c r="A50" s="11" t="s">
        <v>311</v>
      </c>
      <c r="B50" s="17" t="s">
        <v>312</v>
      </c>
      <c r="C50" s="10">
        <v>1</v>
      </c>
      <c r="D50" s="10"/>
      <c r="E50" s="10">
        <v>1</v>
      </c>
      <c r="F50" s="10"/>
      <c r="G50" s="10"/>
      <c r="H50" s="10"/>
      <c r="I50" s="10"/>
      <c r="J50" s="10"/>
      <c r="K50" s="10"/>
      <c r="L50" s="10"/>
      <c r="M50" s="10">
        <f t="shared" si="0"/>
        <v>2</v>
      </c>
      <c r="N50" s="7"/>
      <c r="O50" s="7"/>
      <c r="P50" s="7"/>
      <c r="Q50" s="7"/>
    </row>
    <row r="51" spans="1:17">
      <c r="A51" s="11" t="s">
        <v>411</v>
      </c>
      <c r="B51" s="17" t="s">
        <v>412</v>
      </c>
      <c r="C51" s="10">
        <v>1</v>
      </c>
      <c r="D51" s="10"/>
      <c r="E51" s="10"/>
      <c r="F51" s="10"/>
      <c r="G51" s="10"/>
      <c r="H51" s="10"/>
      <c r="I51" s="10">
        <v>1</v>
      </c>
      <c r="J51" s="10"/>
      <c r="K51" s="10"/>
      <c r="L51" s="10"/>
      <c r="M51" s="10">
        <f t="shared" si="0"/>
        <v>2</v>
      </c>
      <c r="N51" s="7"/>
      <c r="O51" s="7"/>
      <c r="P51" s="7"/>
      <c r="Q51" s="7"/>
    </row>
    <row r="52" spans="1:17">
      <c r="A52" s="11" t="s">
        <v>313</v>
      </c>
      <c r="B52" s="17" t="s">
        <v>314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10">
        <f t="shared" si="0"/>
        <v>1</v>
      </c>
      <c r="N52" s="7"/>
      <c r="O52" s="7"/>
      <c r="P52" s="7"/>
      <c r="Q52" s="7"/>
    </row>
    <row r="53" spans="1:17">
      <c r="A53" s="11" t="s">
        <v>413</v>
      </c>
      <c r="B53" s="17" t="s">
        <v>414</v>
      </c>
      <c r="C53" s="10">
        <v>1</v>
      </c>
      <c r="D53" s="10"/>
      <c r="E53" s="10"/>
      <c r="F53" s="10"/>
      <c r="G53" s="10"/>
      <c r="H53" s="10"/>
      <c r="I53" s="10">
        <v>1</v>
      </c>
      <c r="J53" s="10"/>
      <c r="K53" s="10"/>
      <c r="L53" s="10"/>
      <c r="M53" s="10">
        <f t="shared" si="0"/>
        <v>2</v>
      </c>
      <c r="N53" s="7"/>
      <c r="O53" s="7"/>
      <c r="P53" s="7"/>
      <c r="Q53" s="7"/>
    </row>
    <row r="54" spans="1:17">
      <c r="A54" s="11" t="s">
        <v>315</v>
      </c>
      <c r="B54" s="17" t="s">
        <v>316</v>
      </c>
      <c r="C54" s="10">
        <v>0</v>
      </c>
      <c r="D54" s="10"/>
      <c r="E54" s="10"/>
      <c r="F54" s="10"/>
      <c r="G54" s="10"/>
      <c r="H54" s="10"/>
      <c r="I54" s="10"/>
      <c r="J54" s="10"/>
      <c r="K54" s="10"/>
      <c r="L54" s="10"/>
      <c r="M54" s="10">
        <f t="shared" si="0"/>
        <v>0</v>
      </c>
      <c r="N54" s="7"/>
      <c r="O54" s="7"/>
      <c r="P54" s="7"/>
      <c r="Q54" s="7"/>
    </row>
    <row r="55" spans="1:17">
      <c r="A55" s="11" t="s">
        <v>415</v>
      </c>
      <c r="B55" s="17" t="s">
        <v>416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10">
        <f t="shared" si="0"/>
        <v>1</v>
      </c>
      <c r="N55" s="7"/>
      <c r="O55" s="7"/>
      <c r="P55" s="7"/>
      <c r="Q55" s="7"/>
    </row>
    <row r="56" spans="1:17">
      <c r="A56" s="11" t="s">
        <v>317</v>
      </c>
      <c r="B56" s="17" t="s">
        <v>318</v>
      </c>
      <c r="C56" s="10">
        <v>1</v>
      </c>
      <c r="D56" s="10"/>
      <c r="E56" s="10">
        <v>1</v>
      </c>
      <c r="F56" s="10"/>
      <c r="G56" s="10">
        <v>1</v>
      </c>
      <c r="H56" s="10"/>
      <c r="I56" s="10"/>
      <c r="J56" s="10">
        <v>1</v>
      </c>
      <c r="K56" s="10"/>
      <c r="L56" s="10"/>
      <c r="M56" s="10">
        <f t="shared" si="0"/>
        <v>4</v>
      </c>
      <c r="N56" s="7"/>
      <c r="O56" s="7"/>
      <c r="P56" s="7"/>
      <c r="Q56" s="7"/>
    </row>
    <row r="57" spans="1:17">
      <c r="A57" s="11" t="s">
        <v>417</v>
      </c>
      <c r="B57" s="17" t="s">
        <v>418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10">
        <f t="shared" si="0"/>
        <v>1</v>
      </c>
      <c r="N57" s="7"/>
      <c r="O57" s="7"/>
      <c r="P57" s="7"/>
      <c r="Q57" s="7"/>
    </row>
    <row r="58" spans="1:17">
      <c r="A58" s="11" t="s">
        <v>319</v>
      </c>
      <c r="B58" s="17" t="s">
        <v>320</v>
      </c>
      <c r="C58" s="10">
        <v>1</v>
      </c>
      <c r="D58" s="10"/>
      <c r="E58" s="10"/>
      <c r="F58" s="10"/>
      <c r="G58" s="10">
        <v>1</v>
      </c>
      <c r="H58" s="10"/>
      <c r="I58" s="10"/>
      <c r="J58" s="10"/>
      <c r="K58" s="10"/>
      <c r="L58" s="10"/>
      <c r="M58" s="10">
        <f t="shared" si="0"/>
        <v>2</v>
      </c>
      <c r="N58" s="7"/>
      <c r="O58" s="7"/>
      <c r="P58" s="7"/>
      <c r="Q58" s="7"/>
    </row>
    <row r="59" spans="1:17">
      <c r="A59" s="11" t="s">
        <v>461</v>
      </c>
      <c r="B59" s="17" t="s">
        <v>462</v>
      </c>
      <c r="C59" s="10">
        <v>1</v>
      </c>
      <c r="D59" s="10"/>
      <c r="E59" s="10"/>
      <c r="F59" s="10"/>
      <c r="G59" s="10"/>
      <c r="H59" s="10">
        <v>1</v>
      </c>
      <c r="I59" s="10"/>
      <c r="J59" s="10"/>
      <c r="K59" s="10"/>
      <c r="L59" s="10"/>
      <c r="M59" s="10">
        <f t="shared" si="0"/>
        <v>2</v>
      </c>
      <c r="N59" s="7"/>
      <c r="O59" s="7"/>
      <c r="P59" s="7"/>
      <c r="Q59" s="7"/>
    </row>
    <row r="60" spans="1:17">
      <c r="A60" s="11" t="s">
        <v>321</v>
      </c>
      <c r="B60" s="17" t="s">
        <v>322</v>
      </c>
      <c r="C60" s="10">
        <v>1</v>
      </c>
      <c r="D60" s="10"/>
      <c r="E60" s="10"/>
      <c r="F60" s="10"/>
      <c r="G60" s="10"/>
      <c r="H60" s="10"/>
      <c r="I60" s="10"/>
      <c r="J60" s="10"/>
      <c r="K60" s="10"/>
      <c r="L60" s="10"/>
      <c r="M60" s="10">
        <f t="shared" si="0"/>
        <v>1</v>
      </c>
      <c r="N60" s="7"/>
      <c r="O60" s="7"/>
      <c r="P60" s="7"/>
      <c r="Q60" s="7"/>
    </row>
    <row r="61" spans="1:17">
      <c r="A61" s="11" t="s">
        <v>463</v>
      </c>
      <c r="B61" s="17" t="s">
        <v>464</v>
      </c>
      <c r="C61" s="10">
        <v>1</v>
      </c>
      <c r="D61" s="10"/>
      <c r="E61" s="10"/>
      <c r="F61" s="10"/>
      <c r="G61" s="10"/>
      <c r="H61" s="10"/>
      <c r="I61" s="10">
        <v>1</v>
      </c>
      <c r="J61" s="10">
        <v>1</v>
      </c>
      <c r="K61" s="10"/>
      <c r="L61" s="10"/>
      <c r="M61" s="10">
        <f t="shared" si="0"/>
        <v>3</v>
      </c>
      <c r="N61" s="7"/>
      <c r="O61" s="7"/>
      <c r="P61" s="7"/>
      <c r="Q61" s="7"/>
    </row>
    <row r="62" spans="1:17">
      <c r="A62" s="11" t="s">
        <v>323</v>
      </c>
      <c r="B62" s="17" t="s">
        <v>324</v>
      </c>
      <c r="C62" s="10">
        <v>1</v>
      </c>
      <c r="D62" s="10"/>
      <c r="E62" s="10"/>
      <c r="F62" s="10"/>
      <c r="G62" s="10"/>
      <c r="H62" s="10"/>
      <c r="I62" s="10"/>
      <c r="J62" s="10"/>
      <c r="K62" s="10"/>
      <c r="L62" s="10"/>
      <c r="M62" s="10">
        <f t="shared" si="0"/>
        <v>1</v>
      </c>
      <c r="N62" s="7"/>
      <c r="O62" s="7"/>
      <c r="P62" s="7"/>
      <c r="Q62" s="7"/>
    </row>
    <row r="63" spans="1:17">
      <c r="A63" s="11" t="s">
        <v>465</v>
      </c>
      <c r="B63" s="17" t="s">
        <v>466</v>
      </c>
      <c r="C63" s="10">
        <v>1</v>
      </c>
      <c r="D63" s="10"/>
      <c r="E63" s="10"/>
      <c r="F63" s="10"/>
      <c r="G63" s="10"/>
      <c r="H63" s="10"/>
      <c r="I63" s="10"/>
      <c r="J63" s="10"/>
      <c r="K63" s="10"/>
      <c r="L63" s="10"/>
      <c r="M63" s="10">
        <f t="shared" si="0"/>
        <v>1</v>
      </c>
      <c r="N63" s="7"/>
      <c r="O63" s="7"/>
      <c r="P63" s="7"/>
      <c r="Q63" s="7"/>
    </row>
    <row r="64" spans="1:17">
      <c r="A64" s="11" t="s">
        <v>325</v>
      </c>
      <c r="B64" s="17" t="s">
        <v>326</v>
      </c>
      <c r="C64" s="10">
        <v>1</v>
      </c>
      <c r="D64" s="10"/>
      <c r="E64" s="10"/>
      <c r="F64" s="10"/>
      <c r="G64" s="10"/>
      <c r="H64" s="10"/>
      <c r="I64" s="10"/>
      <c r="J64" s="10"/>
      <c r="K64" s="10"/>
      <c r="L64" s="10"/>
      <c r="M64" s="10">
        <f t="shared" si="0"/>
        <v>1</v>
      </c>
      <c r="N64" s="7"/>
      <c r="O64" s="7"/>
      <c r="P64" s="7"/>
      <c r="Q64" s="7"/>
    </row>
    <row r="65" spans="1:17">
      <c r="A65" s="11" t="s">
        <v>467</v>
      </c>
      <c r="B65" s="17" t="s">
        <v>468</v>
      </c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10">
        <f t="shared" si="0"/>
        <v>1</v>
      </c>
      <c r="N65" s="7"/>
      <c r="O65" s="7"/>
      <c r="P65" s="7"/>
      <c r="Q65" s="7"/>
    </row>
    <row r="66" spans="1:17">
      <c r="A66" s="11" t="s">
        <v>327</v>
      </c>
      <c r="B66" s="17" t="s">
        <v>328</v>
      </c>
      <c r="C66" s="10">
        <v>1</v>
      </c>
      <c r="D66" s="10"/>
      <c r="E66" s="10"/>
      <c r="F66" s="10"/>
      <c r="G66" s="10">
        <v>1</v>
      </c>
      <c r="H66" s="10"/>
      <c r="I66" s="10"/>
      <c r="J66" s="10"/>
      <c r="K66" s="10"/>
      <c r="L66" s="10"/>
      <c r="M66" s="10">
        <f t="shared" si="0"/>
        <v>2</v>
      </c>
      <c r="N66" s="7"/>
      <c r="O66" s="7"/>
      <c r="P66" s="7"/>
      <c r="Q66" s="7"/>
    </row>
    <row r="67" spans="1:17">
      <c r="A67" s="11" t="s">
        <v>469</v>
      </c>
      <c r="B67" s="17" t="s">
        <v>470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10">
        <f t="shared" si="0"/>
        <v>1</v>
      </c>
      <c r="N67" s="7"/>
      <c r="O67" s="7"/>
      <c r="P67" s="7"/>
      <c r="Q67" s="7"/>
    </row>
    <row r="68" spans="1:17">
      <c r="A68" s="11" t="s">
        <v>329</v>
      </c>
      <c r="B68" s="17" t="s">
        <v>330</v>
      </c>
      <c r="C68" s="10">
        <v>1</v>
      </c>
      <c r="D68" s="10"/>
      <c r="E68" s="10">
        <v>1</v>
      </c>
      <c r="F68" s="10"/>
      <c r="G68" s="10">
        <v>1</v>
      </c>
      <c r="H68" s="10"/>
      <c r="I68" s="10"/>
      <c r="J68" s="10">
        <v>1</v>
      </c>
      <c r="K68" s="10"/>
      <c r="L68" s="10"/>
      <c r="M68" s="10">
        <f t="shared" ref="M68:M102" si="1">SUM(C68:K68)</f>
        <v>4</v>
      </c>
      <c r="N68" s="7"/>
      <c r="O68" s="7"/>
      <c r="P68" s="7"/>
      <c r="Q68" s="7"/>
    </row>
    <row r="69" spans="1:17">
      <c r="A69" s="11" t="s">
        <v>331</v>
      </c>
      <c r="B69" s="17" t="s">
        <v>332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10">
        <f t="shared" si="1"/>
        <v>1</v>
      </c>
      <c r="N69" s="7"/>
      <c r="O69" s="7"/>
      <c r="P69" s="7"/>
      <c r="Q69" s="7"/>
    </row>
    <row r="70" spans="1:17">
      <c r="A70" s="11" t="s">
        <v>471</v>
      </c>
      <c r="B70" s="17" t="s">
        <v>472</v>
      </c>
      <c r="C70" s="10">
        <v>1</v>
      </c>
      <c r="D70" s="10"/>
      <c r="E70" s="10"/>
      <c r="F70" s="10"/>
      <c r="G70" s="10"/>
      <c r="H70" s="10"/>
      <c r="I70" s="10"/>
      <c r="J70" s="10"/>
      <c r="K70" s="10"/>
      <c r="L70" s="10"/>
      <c r="M70" s="10">
        <f t="shared" si="1"/>
        <v>1</v>
      </c>
      <c r="N70" s="7"/>
      <c r="O70" s="7"/>
      <c r="P70" s="7"/>
      <c r="Q70" s="7"/>
    </row>
    <row r="71" spans="1:17">
      <c r="A71" s="11" t="s">
        <v>333</v>
      </c>
      <c r="B71" s="17" t="s">
        <v>334</v>
      </c>
      <c r="C71" s="10">
        <v>1</v>
      </c>
      <c r="D71" s="10"/>
      <c r="E71" s="10"/>
      <c r="F71" s="10"/>
      <c r="G71" s="10"/>
      <c r="H71" s="10"/>
      <c r="I71" s="10"/>
      <c r="J71" s="10"/>
      <c r="K71" s="10"/>
      <c r="L71" s="10"/>
      <c r="M71" s="10">
        <f t="shared" si="1"/>
        <v>1</v>
      </c>
      <c r="N71" s="7"/>
      <c r="O71" s="7"/>
      <c r="P71" s="7"/>
      <c r="Q71" s="7"/>
    </row>
    <row r="72" spans="1:17">
      <c r="A72" s="11" t="s">
        <v>473</v>
      </c>
      <c r="B72" s="17" t="s">
        <v>474</v>
      </c>
      <c r="C72" s="10">
        <v>1</v>
      </c>
      <c r="D72" s="10"/>
      <c r="E72" s="10"/>
      <c r="F72" s="10">
        <v>1</v>
      </c>
      <c r="G72" s="10"/>
      <c r="H72" s="10"/>
      <c r="I72" s="10"/>
      <c r="J72" s="10"/>
      <c r="K72" s="10"/>
      <c r="L72" s="10"/>
      <c r="M72" s="10">
        <f t="shared" si="1"/>
        <v>2</v>
      </c>
      <c r="N72" s="7"/>
      <c r="O72" s="7"/>
      <c r="P72" s="7"/>
      <c r="Q72" s="7"/>
    </row>
    <row r="73" spans="1:17">
      <c r="A73" s="11" t="s">
        <v>335</v>
      </c>
      <c r="B73" s="17" t="s">
        <v>336</v>
      </c>
      <c r="C73" s="10">
        <v>1</v>
      </c>
      <c r="D73" s="10"/>
      <c r="E73" s="10"/>
      <c r="F73" s="10"/>
      <c r="G73" s="10"/>
      <c r="H73" s="10"/>
      <c r="I73" s="10">
        <v>1</v>
      </c>
      <c r="J73" s="10"/>
      <c r="K73" s="10"/>
      <c r="L73" s="10"/>
      <c r="M73" s="10">
        <f t="shared" si="1"/>
        <v>2</v>
      </c>
      <c r="N73" s="7"/>
      <c r="O73" s="7"/>
      <c r="P73" s="7"/>
      <c r="Q73" s="7"/>
    </row>
    <row r="74" spans="1:17">
      <c r="A74" s="11" t="s">
        <v>475</v>
      </c>
      <c r="B74" s="17" t="s">
        <v>476</v>
      </c>
      <c r="C74" s="10">
        <v>1</v>
      </c>
      <c r="D74" s="10"/>
      <c r="E74" s="10"/>
      <c r="F74" s="10"/>
      <c r="G74" s="10"/>
      <c r="H74" s="10"/>
      <c r="I74" s="10"/>
      <c r="J74" s="10"/>
      <c r="K74" s="10"/>
      <c r="L74" s="10"/>
      <c r="M74" s="10">
        <f t="shared" si="1"/>
        <v>1</v>
      </c>
      <c r="N74" s="7"/>
      <c r="O74" s="7"/>
      <c r="P74" s="7"/>
      <c r="Q74" s="7"/>
    </row>
    <row r="75" spans="1:17">
      <c r="A75" s="11" t="s">
        <v>337</v>
      </c>
      <c r="B75" s="17" t="s">
        <v>338</v>
      </c>
      <c r="C75" s="10">
        <v>1</v>
      </c>
      <c r="D75" s="10"/>
      <c r="E75" s="10"/>
      <c r="F75" s="10"/>
      <c r="G75" s="10"/>
      <c r="H75" s="10"/>
      <c r="I75" s="10"/>
      <c r="J75" s="10"/>
      <c r="K75" s="10"/>
      <c r="L75" s="10"/>
      <c r="M75" s="10">
        <f t="shared" si="1"/>
        <v>1</v>
      </c>
      <c r="N75" s="7"/>
      <c r="O75" s="7"/>
      <c r="P75" s="7"/>
      <c r="Q75" s="7"/>
    </row>
    <row r="76" spans="1:17">
      <c r="A76" s="11" t="s">
        <v>477</v>
      </c>
      <c r="B76" s="17" t="s">
        <v>478</v>
      </c>
      <c r="C76" s="10">
        <v>1</v>
      </c>
      <c r="D76" s="10"/>
      <c r="E76" s="10"/>
      <c r="F76" s="10"/>
      <c r="G76" s="10"/>
      <c r="H76" s="10"/>
      <c r="I76" s="10"/>
      <c r="J76" s="10"/>
      <c r="K76" s="10"/>
      <c r="L76" s="10"/>
      <c r="M76" s="10">
        <f t="shared" si="1"/>
        <v>1</v>
      </c>
      <c r="N76" s="7"/>
      <c r="O76" s="7"/>
      <c r="P76" s="7"/>
      <c r="Q76" s="7"/>
    </row>
    <row r="77" spans="1:17">
      <c r="A77" s="11" t="s">
        <v>339</v>
      </c>
      <c r="B77" s="17" t="s">
        <v>340</v>
      </c>
      <c r="C77" s="10">
        <v>1</v>
      </c>
      <c r="D77" s="10"/>
      <c r="E77" s="10"/>
      <c r="F77" s="10"/>
      <c r="G77" s="10"/>
      <c r="H77" s="10"/>
      <c r="I77" s="10"/>
      <c r="J77" s="10"/>
      <c r="K77" s="10"/>
      <c r="L77" s="10"/>
      <c r="M77" s="10">
        <f t="shared" si="1"/>
        <v>1</v>
      </c>
      <c r="N77" s="7"/>
      <c r="O77" s="7"/>
      <c r="P77" s="7"/>
      <c r="Q77" s="7"/>
    </row>
    <row r="78" spans="1:17">
      <c r="A78" s="11" t="s">
        <v>479</v>
      </c>
      <c r="B78" s="17" t="s">
        <v>480</v>
      </c>
      <c r="C78" s="10">
        <v>1</v>
      </c>
      <c r="D78" s="10"/>
      <c r="E78" s="10"/>
      <c r="F78" s="10"/>
      <c r="G78" s="10"/>
      <c r="H78" s="10"/>
      <c r="I78" s="10"/>
      <c r="J78" s="10"/>
      <c r="K78" s="10"/>
      <c r="L78" s="10"/>
      <c r="M78" s="10">
        <f t="shared" si="1"/>
        <v>1</v>
      </c>
      <c r="N78" s="7"/>
      <c r="O78" s="7"/>
      <c r="P78" s="7"/>
      <c r="Q78" s="7"/>
    </row>
    <row r="79" spans="1:17">
      <c r="A79" s="11" t="s">
        <v>341</v>
      </c>
      <c r="B79" s="17" t="s">
        <v>342</v>
      </c>
      <c r="C79" s="10">
        <v>1</v>
      </c>
      <c r="D79" s="10"/>
      <c r="E79" s="10">
        <v>1</v>
      </c>
      <c r="F79" s="10"/>
      <c r="G79" s="10"/>
      <c r="H79" s="10">
        <v>1</v>
      </c>
      <c r="I79" s="10"/>
      <c r="J79" s="10"/>
      <c r="K79" s="10"/>
      <c r="L79" s="10"/>
      <c r="M79" s="10">
        <f t="shared" si="1"/>
        <v>3</v>
      </c>
      <c r="N79" s="7"/>
      <c r="O79" s="7"/>
      <c r="P79" s="7"/>
      <c r="Q79" s="7"/>
    </row>
    <row r="80" spans="1:17">
      <c r="A80" s="11" t="s">
        <v>481</v>
      </c>
      <c r="B80" s="17" t="s">
        <v>482</v>
      </c>
      <c r="C80" s="10">
        <v>1</v>
      </c>
      <c r="D80" s="10"/>
      <c r="E80" s="10"/>
      <c r="F80" s="10"/>
      <c r="G80" s="10"/>
      <c r="H80" s="10"/>
      <c r="I80" s="10">
        <v>1</v>
      </c>
      <c r="J80" s="10"/>
      <c r="K80" s="10"/>
      <c r="L80" s="10"/>
      <c r="M80" s="10">
        <f t="shared" si="1"/>
        <v>2</v>
      </c>
      <c r="N80" s="7"/>
      <c r="O80" s="7"/>
      <c r="P80" s="7"/>
      <c r="Q80" s="7"/>
    </row>
    <row r="81" spans="1:17">
      <c r="A81" s="11" t="s">
        <v>343</v>
      </c>
      <c r="B81" s="17" t="s">
        <v>344</v>
      </c>
      <c r="C81" s="10">
        <v>1</v>
      </c>
      <c r="D81" s="10"/>
      <c r="E81" s="10">
        <v>1</v>
      </c>
      <c r="F81" s="10"/>
      <c r="G81" s="10"/>
      <c r="H81" s="10"/>
      <c r="I81" s="10">
        <v>1</v>
      </c>
      <c r="J81" s="10"/>
      <c r="K81" s="10"/>
      <c r="L81" s="10"/>
      <c r="M81" s="10">
        <f t="shared" si="1"/>
        <v>3</v>
      </c>
      <c r="N81" s="7"/>
      <c r="O81" s="7"/>
      <c r="P81" s="7"/>
      <c r="Q81" s="7"/>
    </row>
    <row r="82" spans="1:17">
      <c r="A82" s="11" t="s">
        <v>431</v>
      </c>
      <c r="B82" s="17" t="s">
        <v>432</v>
      </c>
      <c r="C82" s="10">
        <v>1</v>
      </c>
      <c r="D82" s="10"/>
      <c r="E82" s="10"/>
      <c r="F82" s="10"/>
      <c r="G82" s="10">
        <v>1</v>
      </c>
      <c r="H82" s="10"/>
      <c r="I82" s="10">
        <v>1</v>
      </c>
      <c r="J82" s="10"/>
      <c r="K82" s="10"/>
      <c r="L82" s="10"/>
      <c r="M82" s="10">
        <f t="shared" si="1"/>
        <v>3</v>
      </c>
      <c r="N82" s="7"/>
      <c r="O82" s="7"/>
      <c r="P82" s="7"/>
      <c r="Q82" s="7"/>
    </row>
    <row r="83" spans="1:17">
      <c r="A83" s="11" t="s">
        <v>345</v>
      </c>
      <c r="B83" s="17" t="s">
        <v>346</v>
      </c>
      <c r="C83" s="10">
        <v>1</v>
      </c>
      <c r="D83" s="10"/>
      <c r="E83" s="10">
        <v>1</v>
      </c>
      <c r="F83" s="10"/>
      <c r="G83" s="10"/>
      <c r="H83" s="10"/>
      <c r="I83" s="10">
        <v>1</v>
      </c>
      <c r="J83" s="10"/>
      <c r="K83" s="10"/>
      <c r="L83" s="10"/>
      <c r="M83" s="10">
        <f t="shared" si="1"/>
        <v>3</v>
      </c>
      <c r="N83" s="7"/>
      <c r="O83" s="7"/>
      <c r="P83" s="7"/>
      <c r="Q83" s="7"/>
    </row>
    <row r="84" spans="1:17">
      <c r="A84" s="11" t="s">
        <v>433</v>
      </c>
      <c r="B84" s="17" t="s">
        <v>434</v>
      </c>
      <c r="C84" s="10">
        <v>1</v>
      </c>
      <c r="D84" s="10"/>
      <c r="E84" s="10"/>
      <c r="F84" s="10"/>
      <c r="G84" s="10"/>
      <c r="H84" s="10"/>
      <c r="I84" s="10"/>
      <c r="J84" s="10"/>
      <c r="K84" s="10"/>
      <c r="L84" s="10"/>
      <c r="M84" s="10">
        <f t="shared" si="1"/>
        <v>1</v>
      </c>
      <c r="N84" s="7"/>
      <c r="O84" s="7"/>
      <c r="P84" s="7"/>
      <c r="Q84" s="7"/>
    </row>
    <row r="85" spans="1:17">
      <c r="A85" s="11" t="s">
        <v>347</v>
      </c>
      <c r="B85" s="17" t="s">
        <v>348</v>
      </c>
      <c r="C85" s="10">
        <v>1</v>
      </c>
      <c r="D85" s="10"/>
      <c r="E85" s="10"/>
      <c r="F85" s="10"/>
      <c r="G85" s="10"/>
      <c r="H85" s="10"/>
      <c r="I85" s="10"/>
      <c r="J85" s="10"/>
      <c r="K85" s="10"/>
      <c r="L85" s="10"/>
      <c r="M85" s="10">
        <f t="shared" si="1"/>
        <v>1</v>
      </c>
      <c r="N85" s="7"/>
      <c r="O85" s="7"/>
      <c r="P85" s="7"/>
      <c r="Q85" s="7"/>
    </row>
    <row r="86" spans="1:17">
      <c r="A86" s="11" t="s">
        <v>435</v>
      </c>
      <c r="B86" s="17" t="s">
        <v>436</v>
      </c>
      <c r="C86" s="10">
        <v>1</v>
      </c>
      <c r="D86" s="10"/>
      <c r="E86" s="10"/>
      <c r="F86" s="10"/>
      <c r="G86" s="10"/>
      <c r="H86" s="10"/>
      <c r="I86" s="10"/>
      <c r="J86" s="10"/>
      <c r="K86" s="10"/>
      <c r="L86" s="10"/>
      <c r="M86" s="10">
        <f t="shared" si="1"/>
        <v>1</v>
      </c>
      <c r="N86" s="7"/>
      <c r="O86" s="7"/>
      <c r="P86" s="7"/>
      <c r="Q86" s="7"/>
    </row>
    <row r="87" spans="1:17">
      <c r="A87" s="11" t="s">
        <v>349</v>
      </c>
      <c r="B87" s="17" t="s">
        <v>350</v>
      </c>
      <c r="C87" s="10">
        <v>1</v>
      </c>
      <c r="D87" s="10"/>
      <c r="E87" s="10"/>
      <c r="F87" s="10"/>
      <c r="G87" s="10"/>
      <c r="H87" s="10"/>
      <c r="I87" s="10"/>
      <c r="J87" s="10">
        <v>1</v>
      </c>
      <c r="K87" s="10"/>
      <c r="L87" s="10"/>
      <c r="M87" s="10">
        <f t="shared" si="1"/>
        <v>2</v>
      </c>
      <c r="N87" s="7"/>
      <c r="O87" s="7"/>
      <c r="P87" s="7"/>
      <c r="Q87" s="7"/>
    </row>
    <row r="88" spans="1:17">
      <c r="A88" s="11" t="s">
        <v>437</v>
      </c>
      <c r="B88" s="17" t="s">
        <v>438</v>
      </c>
      <c r="C88" s="10">
        <v>1</v>
      </c>
      <c r="D88" s="10"/>
      <c r="E88" s="10"/>
      <c r="F88" s="10"/>
      <c r="G88" s="10"/>
      <c r="H88" s="10"/>
      <c r="I88" s="10"/>
      <c r="J88" s="10"/>
      <c r="K88" s="10"/>
      <c r="L88" s="10"/>
      <c r="M88" s="10">
        <f t="shared" si="1"/>
        <v>1</v>
      </c>
      <c r="N88" s="7"/>
      <c r="O88" s="7"/>
      <c r="P88" s="7"/>
      <c r="Q88" s="7"/>
    </row>
    <row r="89" spans="1:17">
      <c r="A89" s="11" t="s">
        <v>351</v>
      </c>
      <c r="B89" s="17" t="s">
        <v>352</v>
      </c>
      <c r="C89" s="10">
        <v>1</v>
      </c>
      <c r="D89" s="10">
        <v>1</v>
      </c>
      <c r="E89" s="10"/>
      <c r="F89" s="10"/>
      <c r="G89" s="10">
        <v>1</v>
      </c>
      <c r="H89" s="10"/>
      <c r="I89" s="10">
        <v>1</v>
      </c>
      <c r="J89" s="10"/>
      <c r="K89" s="10">
        <v>1</v>
      </c>
      <c r="L89" s="10"/>
      <c r="M89" s="10">
        <f t="shared" si="1"/>
        <v>5</v>
      </c>
      <c r="N89" s="7"/>
      <c r="O89" s="7"/>
      <c r="P89" s="7"/>
      <c r="Q89" s="7"/>
    </row>
    <row r="90" spans="1:17">
      <c r="A90" s="11" t="s">
        <v>439</v>
      </c>
      <c r="B90" s="17" t="s">
        <v>440</v>
      </c>
      <c r="C90" s="10">
        <v>1</v>
      </c>
      <c r="D90" s="10"/>
      <c r="E90" s="10"/>
      <c r="F90" s="10"/>
      <c r="G90" s="10"/>
      <c r="H90" s="10"/>
      <c r="I90" s="10"/>
      <c r="J90" s="10"/>
      <c r="K90" s="10"/>
      <c r="L90" s="10"/>
      <c r="M90" s="10">
        <f t="shared" si="1"/>
        <v>1</v>
      </c>
      <c r="N90" s="7"/>
      <c r="O90" s="7"/>
      <c r="P90" s="7"/>
      <c r="Q90" s="7"/>
    </row>
    <row r="91" spans="1:17">
      <c r="A91" s="11" t="s">
        <v>556</v>
      </c>
      <c r="B91" s="17" t="s">
        <v>557</v>
      </c>
      <c r="C91" s="10">
        <v>1</v>
      </c>
      <c r="D91" s="10">
        <v>1</v>
      </c>
      <c r="E91" s="10"/>
      <c r="F91" s="10"/>
      <c r="G91" s="10">
        <v>1</v>
      </c>
      <c r="H91" s="10"/>
      <c r="I91" s="10"/>
      <c r="J91" s="10"/>
      <c r="K91" s="10">
        <v>1</v>
      </c>
      <c r="L91" s="10"/>
      <c r="M91" s="10">
        <f t="shared" si="1"/>
        <v>4</v>
      </c>
      <c r="N91" s="7"/>
      <c r="O91" s="7"/>
      <c r="P91" s="7"/>
      <c r="Q91" s="7"/>
    </row>
    <row r="92" spans="1:17">
      <c r="A92" s="11" t="s">
        <v>441</v>
      </c>
      <c r="B92" s="17" t="s">
        <v>442</v>
      </c>
      <c r="C92" s="10">
        <v>1</v>
      </c>
      <c r="D92" s="10"/>
      <c r="E92" s="10">
        <v>1</v>
      </c>
      <c r="F92" s="10"/>
      <c r="G92" s="10"/>
      <c r="H92" s="10">
        <v>1</v>
      </c>
      <c r="I92" s="10"/>
      <c r="J92" s="10"/>
      <c r="K92" s="10"/>
      <c r="L92" s="10"/>
      <c r="M92" s="10">
        <f t="shared" si="1"/>
        <v>3</v>
      </c>
      <c r="N92" s="7"/>
      <c r="O92" s="7"/>
      <c r="P92" s="7"/>
      <c r="Q92" s="7"/>
    </row>
    <row r="93" spans="1:17">
      <c r="A93" s="11" t="s">
        <v>558</v>
      </c>
      <c r="B93" s="17" t="s">
        <v>559</v>
      </c>
      <c r="C93" s="10">
        <v>1</v>
      </c>
      <c r="D93" s="10"/>
      <c r="E93" s="10"/>
      <c r="F93" s="10"/>
      <c r="G93" s="10"/>
      <c r="H93" s="10"/>
      <c r="I93" s="10"/>
      <c r="J93" s="10"/>
      <c r="K93" s="10"/>
      <c r="L93" s="10"/>
      <c r="M93" s="10">
        <f t="shared" si="1"/>
        <v>1</v>
      </c>
      <c r="N93" s="7"/>
      <c r="O93" s="7"/>
      <c r="P93" s="7"/>
      <c r="Q93" s="7"/>
    </row>
    <row r="94" spans="1:17">
      <c r="A94" s="11" t="s">
        <v>6</v>
      </c>
      <c r="B94" s="17" t="s">
        <v>7</v>
      </c>
      <c r="C94" s="10">
        <v>1</v>
      </c>
      <c r="D94" s="10"/>
      <c r="E94" s="10">
        <v>1</v>
      </c>
      <c r="F94" s="10"/>
      <c r="G94" s="10"/>
      <c r="H94" s="10"/>
      <c r="I94" s="10"/>
      <c r="J94" s="10"/>
      <c r="K94" s="10"/>
      <c r="L94" s="10"/>
      <c r="M94" s="10">
        <f t="shared" si="1"/>
        <v>2</v>
      </c>
      <c r="N94" s="7"/>
      <c r="O94" s="7"/>
      <c r="P94" s="7"/>
      <c r="Q94" s="7"/>
    </row>
    <row r="95" spans="1:17">
      <c r="A95" s="11" t="s">
        <v>560</v>
      </c>
      <c r="B95" s="17" t="s">
        <v>561</v>
      </c>
      <c r="C95" s="10">
        <v>1</v>
      </c>
      <c r="D95" s="10"/>
      <c r="E95" s="10"/>
      <c r="F95" s="10"/>
      <c r="G95" s="10"/>
      <c r="H95" s="10"/>
      <c r="I95" s="10"/>
      <c r="J95" s="10"/>
      <c r="K95" s="10"/>
      <c r="L95" s="10"/>
      <c r="M95" s="10">
        <f t="shared" si="1"/>
        <v>1</v>
      </c>
      <c r="N95" s="7"/>
      <c r="O95" s="7"/>
      <c r="P95" s="7"/>
      <c r="Q95" s="7"/>
    </row>
    <row r="96" spans="1:17">
      <c r="A96" s="11" t="s">
        <v>8</v>
      </c>
      <c r="B96" s="17" t="s">
        <v>9</v>
      </c>
      <c r="C96" s="10">
        <v>1</v>
      </c>
      <c r="D96" s="10"/>
      <c r="E96" s="10">
        <v>1</v>
      </c>
      <c r="F96" s="10">
        <v>1</v>
      </c>
      <c r="G96" s="10"/>
      <c r="H96" s="10"/>
      <c r="I96" s="10">
        <v>1</v>
      </c>
      <c r="J96" s="10"/>
      <c r="K96" s="10"/>
      <c r="L96" s="10">
        <v>1</v>
      </c>
      <c r="M96" s="10">
        <f t="shared" si="1"/>
        <v>4</v>
      </c>
      <c r="N96" s="7"/>
      <c r="O96" s="7"/>
      <c r="P96" s="7"/>
      <c r="Q96" s="7"/>
    </row>
    <row r="97" spans="1:17">
      <c r="A97" s="11" t="s">
        <v>10</v>
      </c>
      <c r="B97" s="17" t="s">
        <v>11</v>
      </c>
      <c r="C97" s="10">
        <v>1</v>
      </c>
      <c r="D97" s="10"/>
      <c r="E97" s="10"/>
      <c r="F97" s="10"/>
      <c r="G97" s="10"/>
      <c r="H97" s="10"/>
      <c r="I97" s="10"/>
      <c r="J97" s="10"/>
      <c r="K97" s="10"/>
      <c r="L97" s="10"/>
      <c r="M97" s="10">
        <f t="shared" si="1"/>
        <v>1</v>
      </c>
      <c r="N97" s="7"/>
      <c r="O97" s="7"/>
      <c r="P97" s="7"/>
      <c r="Q97" s="7"/>
    </row>
    <row r="98" spans="1:17">
      <c r="A98" s="11" t="s">
        <v>562</v>
      </c>
      <c r="B98" s="17" t="s">
        <v>563</v>
      </c>
      <c r="C98" s="10">
        <v>1</v>
      </c>
      <c r="D98" s="10"/>
      <c r="E98" s="10"/>
      <c r="F98" s="10"/>
      <c r="G98" s="10"/>
      <c r="H98" s="10"/>
      <c r="I98" s="10">
        <v>1</v>
      </c>
      <c r="J98" s="10"/>
      <c r="K98" s="10"/>
      <c r="L98" s="10"/>
      <c r="M98" s="10">
        <f t="shared" si="1"/>
        <v>2</v>
      </c>
      <c r="N98" s="7"/>
      <c r="O98" s="7"/>
      <c r="P98" s="7"/>
      <c r="Q98" s="7"/>
    </row>
    <row r="99" spans="1:17">
      <c r="A99" s="11" t="s">
        <v>12</v>
      </c>
      <c r="B99" s="17" t="s">
        <v>13</v>
      </c>
      <c r="C99" s="10">
        <v>1</v>
      </c>
      <c r="D99" s="10"/>
      <c r="E99" s="10"/>
      <c r="F99" s="10"/>
      <c r="G99" s="10"/>
      <c r="H99" s="10"/>
      <c r="I99" s="10"/>
      <c r="J99" s="10"/>
      <c r="K99" s="10"/>
      <c r="L99" s="10"/>
      <c r="M99" s="10">
        <f t="shared" si="1"/>
        <v>1</v>
      </c>
      <c r="N99" s="7"/>
      <c r="O99" s="7"/>
      <c r="P99" s="7"/>
      <c r="Q99" s="7"/>
    </row>
    <row r="100" spans="1:17">
      <c r="A100" s="11" t="s">
        <v>564</v>
      </c>
      <c r="B100" s="17" t="s">
        <v>565</v>
      </c>
      <c r="C100" s="10">
        <v>1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>
        <f t="shared" si="1"/>
        <v>1</v>
      </c>
      <c r="N100" s="7"/>
      <c r="O100" s="7"/>
      <c r="P100" s="7"/>
      <c r="Q100" s="7"/>
    </row>
    <row r="101" spans="1:17">
      <c r="A101" s="13">
        <v>497510103</v>
      </c>
      <c r="B101" s="17" t="s">
        <v>1125</v>
      </c>
      <c r="C101" s="10"/>
      <c r="D101" s="10"/>
      <c r="E101" s="10"/>
      <c r="F101" s="10"/>
      <c r="G101" s="10"/>
      <c r="H101" s="10"/>
      <c r="I101" s="10">
        <v>1</v>
      </c>
      <c r="J101" s="10"/>
      <c r="K101" s="10"/>
      <c r="L101" s="10"/>
      <c r="M101" s="10">
        <f t="shared" si="1"/>
        <v>1</v>
      </c>
      <c r="N101" s="7"/>
      <c r="O101" s="7"/>
      <c r="P101" s="7"/>
      <c r="Q101" s="7"/>
    </row>
    <row r="102" spans="1:17">
      <c r="A102" s="15">
        <v>497710004</v>
      </c>
      <c r="B102" s="33" t="s">
        <v>908</v>
      </c>
      <c r="C102" s="10">
        <v>0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>
        <f t="shared" si="1"/>
        <v>0</v>
      </c>
    </row>
    <row r="103" spans="1:17">
      <c r="A103" s="32" t="s">
        <v>907</v>
      </c>
      <c r="B103"/>
      <c r="C103"/>
      <c r="D103"/>
      <c r="E103"/>
      <c r="F103"/>
      <c r="G103"/>
      <c r="H103" t="s">
        <v>909</v>
      </c>
      <c r="I103"/>
      <c r="J103"/>
      <c r="K103"/>
      <c r="L103"/>
      <c r="M103">
        <f>MEDIAN(M3:M102)</f>
        <v>1</v>
      </c>
    </row>
    <row r="104" spans="1:17">
      <c r="A104" s="3" t="s">
        <v>147</v>
      </c>
      <c r="B104" s="4"/>
    </row>
    <row r="105" spans="1:17">
      <c r="A105" s="2" t="s">
        <v>910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7">
      <c r="A106" s="2" t="s">
        <v>913</v>
      </c>
    </row>
    <row r="107" spans="1:17">
      <c r="A107" s="2" t="s">
        <v>915</v>
      </c>
    </row>
    <row r="108" spans="1:17">
      <c r="A108" t="s">
        <v>916</v>
      </c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7" s="2" customFormat="1">
      <c r="A109" s="2" t="s">
        <v>1118</v>
      </c>
      <c r="C109" s="45"/>
    </row>
    <row r="110" spans="1:17" s="2" customFormat="1">
      <c r="A110" s="2" t="s">
        <v>1120</v>
      </c>
    </row>
    <row r="111" spans="1:17" s="2" customFormat="1">
      <c r="A111" s="2" t="s">
        <v>1202</v>
      </c>
    </row>
    <row r="112" spans="1:17" s="2" customFormat="1">
      <c r="A112" s="129" t="s">
        <v>1204</v>
      </c>
      <c r="B112" s="129"/>
      <c r="C112" s="129"/>
      <c r="D112" s="129"/>
      <c r="E112" s="129"/>
      <c r="F112" s="129"/>
      <c r="G112" s="129"/>
      <c r="H112" s="50"/>
      <c r="I112" s="50"/>
      <c r="J112" s="50"/>
      <c r="K112" s="50"/>
      <c r="L112" s="50"/>
      <c r="M112" s="50"/>
      <c r="N112" s="50"/>
      <c r="O112" s="50"/>
    </row>
    <row r="113" spans="1:13">
      <c r="A113" s="129" t="s">
        <v>1218</v>
      </c>
      <c r="B113" s="129"/>
      <c r="C113" s="129"/>
      <c r="D113" s="129"/>
      <c r="E113" s="129"/>
      <c r="F113" s="129"/>
      <c r="G113" s="129"/>
      <c r="H113" s="53"/>
      <c r="I113" s="53"/>
      <c r="J113" s="53"/>
      <c r="K113" s="53"/>
      <c r="L113" s="53"/>
      <c r="M113" s="53"/>
    </row>
  </sheetData>
  <mergeCells count="2">
    <mergeCell ref="A112:G112"/>
    <mergeCell ref="A113:G11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41" workbookViewId="0">
      <selection activeCell="B54" sqref="B54"/>
    </sheetView>
  </sheetViews>
  <sheetFormatPr defaultRowHeight="16.2"/>
  <cols>
    <col min="1" max="1" width="10.109375" style="2" customWidth="1"/>
    <col min="2" max="2" width="9" style="2"/>
    <col min="3" max="10" width="6.109375" style="2" customWidth="1"/>
  </cols>
  <sheetData>
    <row r="1" spans="1:10">
      <c r="A1" t="s">
        <v>699</v>
      </c>
      <c r="C1" s="8">
        <f>MAX(J3:J91)</f>
        <v>6</v>
      </c>
    </row>
    <row r="2" spans="1:10">
      <c r="A2" s="26" t="s">
        <v>646</v>
      </c>
      <c r="B2" s="26" t="s">
        <v>661</v>
      </c>
      <c r="C2" s="21" t="s">
        <v>148</v>
      </c>
      <c r="D2" s="21" t="s">
        <v>702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4" t="s">
        <v>143</v>
      </c>
    </row>
    <row r="3" spans="1:10">
      <c r="A3" s="15">
        <v>496330036</v>
      </c>
      <c r="B3" s="14" t="s">
        <v>139</v>
      </c>
      <c r="C3" s="10">
        <v>1</v>
      </c>
      <c r="D3" s="10"/>
      <c r="E3" s="10"/>
      <c r="F3" s="10"/>
      <c r="G3" s="10"/>
      <c r="H3" s="10"/>
      <c r="I3" s="10"/>
      <c r="J3" s="10">
        <f>SUM(C3:I3)</f>
        <v>1</v>
      </c>
    </row>
    <row r="4" spans="1:10">
      <c r="A4" s="11" t="s">
        <v>419</v>
      </c>
      <c r="B4" s="9" t="s">
        <v>420</v>
      </c>
      <c r="C4" s="10">
        <v>0</v>
      </c>
      <c r="D4" s="10"/>
      <c r="E4" s="10"/>
      <c r="F4" s="10"/>
      <c r="G4" s="10"/>
      <c r="H4" s="10"/>
      <c r="I4" s="10"/>
      <c r="J4" s="10">
        <f t="shared" ref="J4:J67" si="0">SUM(C4:I4)</f>
        <v>0</v>
      </c>
    </row>
    <row r="5" spans="1:10">
      <c r="A5" s="11" t="s">
        <v>576</v>
      </c>
      <c r="B5" s="9" t="s">
        <v>577</v>
      </c>
      <c r="C5" s="10">
        <v>0</v>
      </c>
      <c r="D5" s="10"/>
      <c r="E5" s="10"/>
      <c r="F5" s="10"/>
      <c r="G5" s="10"/>
      <c r="H5" s="10"/>
      <c r="I5" s="10"/>
      <c r="J5" s="10">
        <f t="shared" si="0"/>
        <v>0</v>
      </c>
    </row>
    <row r="6" spans="1:10">
      <c r="A6" s="11" t="s">
        <v>185</v>
      </c>
      <c r="B6" s="9" t="s">
        <v>186</v>
      </c>
      <c r="C6" s="10">
        <v>1</v>
      </c>
      <c r="D6" s="10"/>
      <c r="E6" s="10"/>
      <c r="F6" s="10"/>
      <c r="G6" s="10"/>
      <c r="H6" s="10"/>
      <c r="I6" s="10"/>
      <c r="J6" s="10">
        <f t="shared" si="0"/>
        <v>1</v>
      </c>
    </row>
    <row r="7" spans="1:10">
      <c r="A7" s="11" t="s">
        <v>578</v>
      </c>
      <c r="B7" s="9" t="s">
        <v>133</v>
      </c>
      <c r="C7" s="10">
        <v>1</v>
      </c>
      <c r="D7" s="10"/>
      <c r="E7" s="10">
        <v>1</v>
      </c>
      <c r="F7" s="10"/>
      <c r="G7" s="10"/>
      <c r="H7" s="10"/>
      <c r="I7" s="10"/>
      <c r="J7" s="10">
        <f t="shared" si="0"/>
        <v>2</v>
      </c>
    </row>
    <row r="8" spans="1:10">
      <c r="A8" s="11" t="s">
        <v>187</v>
      </c>
      <c r="B8" s="9" t="s">
        <v>137</v>
      </c>
      <c r="C8" s="10">
        <v>1</v>
      </c>
      <c r="D8" s="10">
        <v>1</v>
      </c>
      <c r="E8" s="10">
        <v>1</v>
      </c>
      <c r="F8" s="10">
        <v>1</v>
      </c>
      <c r="G8" s="10"/>
      <c r="H8" s="10"/>
      <c r="I8" s="10"/>
      <c r="J8" s="10">
        <f t="shared" si="0"/>
        <v>4</v>
      </c>
    </row>
    <row r="9" spans="1:10">
      <c r="A9" s="11" t="s">
        <v>579</v>
      </c>
      <c r="B9" s="9" t="s">
        <v>580</v>
      </c>
      <c r="C9" s="10">
        <v>1</v>
      </c>
      <c r="D9" s="10"/>
      <c r="E9" s="10"/>
      <c r="F9" s="10"/>
      <c r="G9" s="10"/>
      <c r="H9" s="10"/>
      <c r="I9" s="10"/>
      <c r="J9" s="10">
        <f t="shared" si="0"/>
        <v>1</v>
      </c>
    </row>
    <row r="10" spans="1:10">
      <c r="A10" s="11" t="s">
        <v>188</v>
      </c>
      <c r="B10" s="9" t="s">
        <v>189</v>
      </c>
      <c r="C10" s="10">
        <v>0</v>
      </c>
      <c r="D10" s="10"/>
      <c r="E10" s="10"/>
      <c r="F10" s="10"/>
      <c r="G10" s="10"/>
      <c r="H10" s="10"/>
      <c r="I10" s="10"/>
      <c r="J10" s="10">
        <f t="shared" si="0"/>
        <v>0</v>
      </c>
    </row>
    <row r="11" spans="1:10">
      <c r="A11" s="11" t="s">
        <v>581</v>
      </c>
      <c r="B11" s="9" t="s">
        <v>582</v>
      </c>
      <c r="C11" s="10">
        <v>0</v>
      </c>
      <c r="D11" s="10"/>
      <c r="E11" s="10"/>
      <c r="F11" s="10"/>
      <c r="G11" s="10"/>
      <c r="H11" s="10"/>
      <c r="I11" s="10"/>
      <c r="J11" s="10">
        <f t="shared" si="0"/>
        <v>0</v>
      </c>
    </row>
    <row r="12" spans="1:10">
      <c r="A12" s="11" t="s">
        <v>190</v>
      </c>
      <c r="B12" s="9" t="s">
        <v>191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/>
      <c r="I12" s="10"/>
      <c r="J12" s="10">
        <f t="shared" si="0"/>
        <v>5</v>
      </c>
    </row>
    <row r="13" spans="1:10">
      <c r="A13" s="11" t="s">
        <v>583</v>
      </c>
      <c r="B13" s="9" t="s">
        <v>584</v>
      </c>
      <c r="C13" s="10">
        <v>1</v>
      </c>
      <c r="D13" s="10"/>
      <c r="E13" s="10">
        <v>1</v>
      </c>
      <c r="F13" s="10">
        <v>1</v>
      </c>
      <c r="G13" s="10"/>
      <c r="H13" s="10"/>
      <c r="I13" s="10"/>
      <c r="J13" s="10">
        <f t="shared" si="0"/>
        <v>3</v>
      </c>
    </row>
    <row r="14" spans="1:10">
      <c r="A14" s="11" t="s">
        <v>192</v>
      </c>
      <c r="B14" s="9" t="s">
        <v>193</v>
      </c>
      <c r="C14" s="10">
        <v>1</v>
      </c>
      <c r="D14" s="10"/>
      <c r="E14" s="10">
        <v>1</v>
      </c>
      <c r="F14" s="10"/>
      <c r="G14" s="10"/>
      <c r="H14" s="10"/>
      <c r="I14" s="10"/>
      <c r="J14" s="10">
        <f t="shared" si="0"/>
        <v>2</v>
      </c>
    </row>
    <row r="15" spans="1:10">
      <c r="A15" s="11" t="s">
        <v>585</v>
      </c>
      <c r="B15" s="9" t="s">
        <v>586</v>
      </c>
      <c r="C15" s="10">
        <v>1</v>
      </c>
      <c r="D15" s="10">
        <v>1</v>
      </c>
      <c r="E15" s="10">
        <v>1</v>
      </c>
      <c r="F15" s="10"/>
      <c r="G15" s="10"/>
      <c r="H15" s="10"/>
      <c r="I15" s="10"/>
      <c r="J15" s="10">
        <f t="shared" si="0"/>
        <v>3</v>
      </c>
    </row>
    <row r="16" spans="1:10">
      <c r="A16" s="11" t="s">
        <v>194</v>
      </c>
      <c r="B16" s="9" t="s">
        <v>195</v>
      </c>
      <c r="C16" s="10">
        <v>1</v>
      </c>
      <c r="D16" s="10"/>
      <c r="E16" s="10"/>
      <c r="F16" s="10"/>
      <c r="G16" s="10"/>
      <c r="H16" s="10"/>
      <c r="I16" s="10"/>
      <c r="J16" s="10">
        <f t="shared" si="0"/>
        <v>1</v>
      </c>
    </row>
    <row r="17" spans="1:10">
      <c r="A17" s="11" t="s">
        <v>587</v>
      </c>
      <c r="B17" s="9" t="s">
        <v>588</v>
      </c>
      <c r="C17" s="10">
        <v>1</v>
      </c>
      <c r="D17" s="10"/>
      <c r="E17" s="10"/>
      <c r="F17" s="10"/>
      <c r="G17" s="10"/>
      <c r="H17" s="10"/>
      <c r="I17" s="10"/>
      <c r="J17" s="10">
        <f t="shared" si="0"/>
        <v>1</v>
      </c>
    </row>
    <row r="18" spans="1:10">
      <c r="A18" s="11" t="s">
        <v>196</v>
      </c>
      <c r="B18" s="9" t="s">
        <v>197</v>
      </c>
      <c r="C18" s="10">
        <v>0</v>
      </c>
      <c r="D18" s="10">
        <v>1</v>
      </c>
      <c r="E18" s="10"/>
      <c r="F18" s="10">
        <v>1</v>
      </c>
      <c r="G18" s="10"/>
      <c r="H18" s="10"/>
      <c r="I18" s="10"/>
      <c r="J18" s="10">
        <f t="shared" si="0"/>
        <v>2</v>
      </c>
    </row>
    <row r="19" spans="1:10">
      <c r="A19" s="11" t="s">
        <v>589</v>
      </c>
      <c r="B19" s="9" t="s">
        <v>590</v>
      </c>
      <c r="C19" s="10">
        <v>1</v>
      </c>
      <c r="D19" s="10">
        <v>1</v>
      </c>
      <c r="E19" s="10"/>
      <c r="F19" s="10"/>
      <c r="G19" s="10"/>
      <c r="H19" s="10"/>
      <c r="I19" s="10"/>
      <c r="J19" s="10">
        <f t="shared" si="0"/>
        <v>2</v>
      </c>
    </row>
    <row r="20" spans="1:10">
      <c r="A20" s="11" t="s">
        <v>45</v>
      </c>
      <c r="B20" s="9" t="s">
        <v>46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/>
      <c r="I20" s="10"/>
      <c r="J20" s="10">
        <f t="shared" si="0"/>
        <v>5</v>
      </c>
    </row>
    <row r="21" spans="1:10">
      <c r="A21" s="11" t="s">
        <v>367</v>
      </c>
      <c r="B21" s="9" t="s">
        <v>368</v>
      </c>
      <c r="C21" s="10">
        <v>1</v>
      </c>
      <c r="D21" s="10"/>
      <c r="E21" s="10"/>
      <c r="F21" s="10"/>
      <c r="G21" s="10"/>
      <c r="H21" s="10"/>
      <c r="I21" s="10"/>
      <c r="J21" s="10">
        <f t="shared" si="0"/>
        <v>1</v>
      </c>
    </row>
    <row r="22" spans="1:10">
      <c r="A22" s="11" t="s">
        <v>233</v>
      </c>
      <c r="B22" s="9" t="s">
        <v>234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/>
      <c r="I22" s="10">
        <v>1</v>
      </c>
      <c r="J22" s="10">
        <f t="shared" si="0"/>
        <v>6</v>
      </c>
    </row>
    <row r="23" spans="1:10">
      <c r="A23" s="11" t="s">
        <v>369</v>
      </c>
      <c r="B23" s="9" t="s">
        <v>370</v>
      </c>
      <c r="C23" s="10">
        <v>0</v>
      </c>
      <c r="D23" s="10"/>
      <c r="E23" s="10"/>
      <c r="F23" s="10"/>
      <c r="G23" s="10"/>
      <c r="H23" s="10"/>
      <c r="I23" s="10"/>
      <c r="J23" s="10">
        <f t="shared" si="0"/>
        <v>0</v>
      </c>
    </row>
    <row r="24" spans="1:10">
      <c r="A24" s="11" t="s">
        <v>235</v>
      </c>
      <c r="B24" s="9" t="s">
        <v>236</v>
      </c>
      <c r="C24" s="10">
        <v>1</v>
      </c>
      <c r="D24" s="10"/>
      <c r="E24" s="10"/>
      <c r="F24" s="10"/>
      <c r="G24" s="10"/>
      <c r="H24" s="10"/>
      <c r="I24" s="10"/>
      <c r="J24" s="10">
        <f t="shared" si="0"/>
        <v>1</v>
      </c>
    </row>
    <row r="25" spans="1:10">
      <c r="A25" s="11" t="s">
        <v>371</v>
      </c>
      <c r="B25" s="9" t="s">
        <v>372</v>
      </c>
      <c r="C25" s="10">
        <v>1</v>
      </c>
      <c r="D25" s="10"/>
      <c r="E25" s="10"/>
      <c r="F25" s="10"/>
      <c r="G25" s="10"/>
      <c r="H25" s="10"/>
      <c r="I25" s="10"/>
      <c r="J25" s="10">
        <f t="shared" si="0"/>
        <v>1</v>
      </c>
    </row>
    <row r="26" spans="1:10">
      <c r="A26" s="11" t="s">
        <v>237</v>
      </c>
      <c r="B26" s="9" t="s">
        <v>238</v>
      </c>
      <c r="C26" s="10">
        <v>1</v>
      </c>
      <c r="D26" s="10"/>
      <c r="E26" s="10"/>
      <c r="F26" s="10"/>
      <c r="G26" s="10"/>
      <c r="H26" s="10"/>
      <c r="I26" s="10"/>
      <c r="J26" s="10">
        <f t="shared" si="0"/>
        <v>1</v>
      </c>
    </row>
    <row r="27" spans="1:10">
      <c r="A27" s="13">
        <v>496510024</v>
      </c>
      <c r="B27" s="34" t="s">
        <v>138</v>
      </c>
      <c r="C27" s="10">
        <v>1</v>
      </c>
      <c r="D27" s="10"/>
      <c r="E27" s="10"/>
      <c r="F27" s="10">
        <v>1</v>
      </c>
      <c r="G27" s="10"/>
      <c r="H27" s="10"/>
      <c r="I27" s="10"/>
      <c r="J27" s="10">
        <f t="shared" si="0"/>
        <v>2</v>
      </c>
    </row>
    <row r="28" spans="1:10">
      <c r="A28" s="11" t="s">
        <v>239</v>
      </c>
      <c r="B28" s="9" t="s">
        <v>240</v>
      </c>
      <c r="C28" s="10">
        <v>1</v>
      </c>
      <c r="D28" s="10"/>
      <c r="E28" s="10">
        <v>1</v>
      </c>
      <c r="F28" s="10"/>
      <c r="G28" s="10">
        <v>1</v>
      </c>
      <c r="H28" s="10"/>
      <c r="I28" s="10"/>
      <c r="J28" s="10">
        <f t="shared" si="0"/>
        <v>3</v>
      </c>
    </row>
    <row r="29" spans="1:10">
      <c r="A29" s="11" t="s">
        <v>373</v>
      </c>
      <c r="B29" s="9" t="s">
        <v>374</v>
      </c>
      <c r="C29" s="10">
        <v>1</v>
      </c>
      <c r="D29" s="10"/>
      <c r="E29" s="10">
        <v>1</v>
      </c>
      <c r="F29" s="10">
        <v>1</v>
      </c>
      <c r="G29" s="10">
        <v>1</v>
      </c>
      <c r="H29" s="10"/>
      <c r="I29" s="10"/>
      <c r="J29" s="10">
        <f t="shared" si="0"/>
        <v>4</v>
      </c>
    </row>
    <row r="30" spans="1:10">
      <c r="A30" s="11" t="s">
        <v>241</v>
      </c>
      <c r="B30" s="9" t="s">
        <v>242</v>
      </c>
      <c r="C30" s="10">
        <v>0</v>
      </c>
      <c r="D30" s="10"/>
      <c r="E30" s="10">
        <v>1</v>
      </c>
      <c r="F30" s="10"/>
      <c r="G30" s="10"/>
      <c r="H30" s="10"/>
      <c r="I30" s="10"/>
      <c r="J30" s="10">
        <f t="shared" si="0"/>
        <v>1</v>
      </c>
    </row>
    <row r="31" spans="1:10">
      <c r="A31" s="11" t="s">
        <v>375</v>
      </c>
      <c r="B31" s="9" t="s">
        <v>376</v>
      </c>
      <c r="C31" s="10">
        <v>1</v>
      </c>
      <c r="D31" s="10"/>
      <c r="E31" s="10"/>
      <c r="F31" s="10"/>
      <c r="G31" s="10">
        <v>1</v>
      </c>
      <c r="H31" s="10"/>
      <c r="I31" s="10"/>
      <c r="J31" s="10">
        <f t="shared" si="0"/>
        <v>2</v>
      </c>
    </row>
    <row r="32" spans="1:10">
      <c r="A32" s="11" t="s">
        <v>243</v>
      </c>
      <c r="B32" s="9" t="s">
        <v>244</v>
      </c>
      <c r="C32" s="10">
        <v>0</v>
      </c>
      <c r="D32" s="10"/>
      <c r="E32" s="10"/>
      <c r="F32" s="10"/>
      <c r="G32" s="10"/>
      <c r="H32" s="10"/>
      <c r="I32" s="10">
        <v>1</v>
      </c>
      <c r="J32" s="10">
        <f t="shared" si="0"/>
        <v>1</v>
      </c>
    </row>
    <row r="33" spans="1:10">
      <c r="A33" s="11" t="s">
        <v>377</v>
      </c>
      <c r="B33" s="9" t="s">
        <v>378</v>
      </c>
      <c r="C33" s="10">
        <v>1</v>
      </c>
      <c r="D33" s="10"/>
      <c r="E33" s="10">
        <v>1</v>
      </c>
      <c r="F33" s="10"/>
      <c r="G33" s="10">
        <v>1</v>
      </c>
      <c r="H33" s="10"/>
      <c r="I33" s="10"/>
      <c r="J33" s="10">
        <f t="shared" si="0"/>
        <v>3</v>
      </c>
    </row>
    <row r="34" spans="1:10">
      <c r="A34" s="11" t="s">
        <v>245</v>
      </c>
      <c r="B34" s="9" t="s">
        <v>246</v>
      </c>
      <c r="C34" s="10">
        <v>1</v>
      </c>
      <c r="D34" s="10"/>
      <c r="E34" s="10"/>
      <c r="F34" s="10"/>
      <c r="G34" s="10"/>
      <c r="H34" s="10"/>
      <c r="I34" s="10"/>
      <c r="J34" s="10">
        <f t="shared" si="0"/>
        <v>1</v>
      </c>
    </row>
    <row r="35" spans="1:10">
      <c r="A35" s="11" t="s">
        <v>379</v>
      </c>
      <c r="B35" s="9" t="s">
        <v>380</v>
      </c>
      <c r="C35" s="10">
        <v>1</v>
      </c>
      <c r="D35" s="10"/>
      <c r="E35" s="10"/>
      <c r="F35" s="10"/>
      <c r="G35" s="10"/>
      <c r="H35" s="10"/>
      <c r="I35" s="10"/>
      <c r="J35" s="10">
        <f t="shared" si="0"/>
        <v>1</v>
      </c>
    </row>
    <row r="36" spans="1:10">
      <c r="A36" s="11" t="s">
        <v>247</v>
      </c>
      <c r="B36" s="9" t="s">
        <v>248</v>
      </c>
      <c r="C36" s="10">
        <v>1</v>
      </c>
      <c r="D36" s="10"/>
      <c r="E36" s="10"/>
      <c r="F36" s="10">
        <v>1</v>
      </c>
      <c r="G36" s="10"/>
      <c r="H36" s="10">
        <v>1</v>
      </c>
      <c r="I36" s="10"/>
      <c r="J36" s="10">
        <f t="shared" si="0"/>
        <v>3</v>
      </c>
    </row>
    <row r="37" spans="1:10">
      <c r="A37" s="11" t="s">
        <v>381</v>
      </c>
      <c r="B37" s="9" t="s">
        <v>382</v>
      </c>
      <c r="C37" s="10">
        <v>1</v>
      </c>
      <c r="D37" s="10"/>
      <c r="E37" s="10">
        <v>1</v>
      </c>
      <c r="F37" s="10">
        <v>1</v>
      </c>
      <c r="G37" s="10"/>
      <c r="H37" s="10"/>
      <c r="I37" s="10"/>
      <c r="J37" s="10">
        <f t="shared" si="0"/>
        <v>3</v>
      </c>
    </row>
    <row r="38" spans="1:10">
      <c r="A38" s="11" t="s">
        <v>249</v>
      </c>
      <c r="B38" s="9" t="s">
        <v>250</v>
      </c>
      <c r="C38" s="10">
        <v>1</v>
      </c>
      <c r="D38" s="10"/>
      <c r="E38" s="10"/>
      <c r="F38" s="10"/>
      <c r="G38" s="10"/>
      <c r="H38" s="10"/>
      <c r="I38" s="10"/>
      <c r="J38" s="10">
        <f t="shared" si="0"/>
        <v>1</v>
      </c>
    </row>
    <row r="39" spans="1:10">
      <c r="A39" s="11" t="s">
        <v>251</v>
      </c>
      <c r="B39" s="9" t="s">
        <v>252</v>
      </c>
      <c r="C39" s="10">
        <v>0</v>
      </c>
      <c r="D39" s="10"/>
      <c r="E39" s="10"/>
      <c r="F39" s="10">
        <v>1</v>
      </c>
      <c r="G39" s="10"/>
      <c r="H39" s="10"/>
      <c r="I39" s="10"/>
      <c r="J39" s="10">
        <f t="shared" si="0"/>
        <v>1</v>
      </c>
    </row>
    <row r="40" spans="1:10">
      <c r="A40" s="11" t="s">
        <v>385</v>
      </c>
      <c r="B40" s="9" t="s">
        <v>386</v>
      </c>
      <c r="C40" s="10">
        <v>1</v>
      </c>
      <c r="D40" s="10"/>
      <c r="E40" s="10"/>
      <c r="F40" s="10"/>
      <c r="G40" s="10"/>
      <c r="H40" s="10"/>
      <c r="I40" s="10"/>
      <c r="J40" s="10">
        <f t="shared" si="0"/>
        <v>1</v>
      </c>
    </row>
    <row r="41" spans="1:10">
      <c r="A41" s="11" t="s">
        <v>208</v>
      </c>
      <c r="B41" s="9" t="s">
        <v>209</v>
      </c>
      <c r="C41" s="10">
        <v>1</v>
      </c>
      <c r="D41" s="10"/>
      <c r="E41" s="10">
        <v>-0.5</v>
      </c>
      <c r="F41" s="10"/>
      <c r="G41" s="10"/>
      <c r="H41" s="10"/>
      <c r="I41" s="10"/>
      <c r="J41" s="10">
        <f t="shared" si="0"/>
        <v>0.5</v>
      </c>
    </row>
    <row r="42" spans="1:10">
      <c r="A42" s="11" t="s">
        <v>210</v>
      </c>
      <c r="B42" s="9" t="s">
        <v>211</v>
      </c>
      <c r="C42" s="10">
        <v>1</v>
      </c>
      <c r="D42" s="10"/>
      <c r="E42" s="10"/>
      <c r="F42" s="10"/>
      <c r="G42" s="10"/>
      <c r="H42" s="10"/>
      <c r="I42" s="10"/>
      <c r="J42" s="10">
        <f t="shared" si="0"/>
        <v>1</v>
      </c>
    </row>
    <row r="43" spans="1:10">
      <c r="A43" s="11" t="s">
        <v>163</v>
      </c>
      <c r="B43" s="9" t="s">
        <v>164</v>
      </c>
      <c r="C43" s="10">
        <v>1</v>
      </c>
      <c r="D43" s="10"/>
      <c r="E43" s="10">
        <v>1</v>
      </c>
      <c r="F43" s="10">
        <v>1</v>
      </c>
      <c r="G43" s="10"/>
      <c r="H43" s="10"/>
      <c r="I43" s="10"/>
      <c r="J43" s="10">
        <f t="shared" si="0"/>
        <v>3</v>
      </c>
    </row>
    <row r="44" spans="1:10">
      <c r="A44" s="11" t="s">
        <v>165</v>
      </c>
      <c r="B44" s="9" t="s">
        <v>166</v>
      </c>
      <c r="C44" s="10">
        <v>1</v>
      </c>
      <c r="D44" s="10"/>
      <c r="E44" s="10"/>
      <c r="F44" s="10"/>
      <c r="G44" s="10"/>
      <c r="H44" s="10"/>
      <c r="I44" s="10"/>
      <c r="J44" s="10">
        <f t="shared" si="0"/>
        <v>1</v>
      </c>
    </row>
    <row r="45" spans="1:10">
      <c r="A45" s="11" t="s">
        <v>697</v>
      </c>
      <c r="B45" s="9" t="s">
        <v>698</v>
      </c>
      <c r="C45" s="10">
        <v>1</v>
      </c>
      <c r="D45" s="10"/>
      <c r="E45" s="10"/>
      <c r="F45" s="10"/>
      <c r="G45" s="10"/>
      <c r="H45" s="10"/>
      <c r="I45" s="10"/>
      <c r="J45" s="10">
        <f t="shared" si="0"/>
        <v>1</v>
      </c>
    </row>
    <row r="46" spans="1:10">
      <c r="A46" s="11" t="s">
        <v>357</v>
      </c>
      <c r="B46" s="9" t="s">
        <v>358</v>
      </c>
      <c r="C46" s="10">
        <v>1</v>
      </c>
      <c r="D46" s="10"/>
      <c r="E46" s="10"/>
      <c r="F46" s="10"/>
      <c r="G46" s="10"/>
      <c r="H46" s="10"/>
      <c r="I46" s="10"/>
      <c r="J46" s="10">
        <f t="shared" si="0"/>
        <v>1</v>
      </c>
    </row>
    <row r="47" spans="1:10">
      <c r="A47" s="11" t="s">
        <v>149</v>
      </c>
      <c r="B47" s="9" t="s">
        <v>150</v>
      </c>
      <c r="C47" s="10">
        <v>1</v>
      </c>
      <c r="D47" s="10"/>
      <c r="E47" s="10"/>
      <c r="F47" s="10"/>
      <c r="G47" s="10"/>
      <c r="H47" s="10"/>
      <c r="I47" s="10"/>
      <c r="J47" s="10">
        <f t="shared" si="0"/>
        <v>1</v>
      </c>
    </row>
    <row r="48" spans="1:10">
      <c r="A48" s="11" t="s">
        <v>359</v>
      </c>
      <c r="B48" s="9" t="s">
        <v>360</v>
      </c>
      <c r="C48" s="10">
        <v>1</v>
      </c>
      <c r="D48" s="10">
        <v>1</v>
      </c>
      <c r="E48" s="10">
        <v>1</v>
      </c>
      <c r="F48" s="10"/>
      <c r="G48" s="10"/>
      <c r="H48" s="10"/>
      <c r="I48" s="10"/>
      <c r="J48" s="10">
        <f t="shared" si="0"/>
        <v>3</v>
      </c>
    </row>
    <row r="49" spans="1:10">
      <c r="A49" s="11" t="s">
        <v>151</v>
      </c>
      <c r="B49" s="9" t="s">
        <v>152</v>
      </c>
      <c r="C49" s="10">
        <v>1</v>
      </c>
      <c r="D49" s="10"/>
      <c r="E49" s="10">
        <v>1</v>
      </c>
      <c r="F49" s="10">
        <v>1</v>
      </c>
      <c r="G49" s="10"/>
      <c r="H49" s="10"/>
      <c r="I49" s="10"/>
      <c r="J49" s="10">
        <f t="shared" si="0"/>
        <v>3</v>
      </c>
    </row>
    <row r="50" spans="1:10">
      <c r="A50" s="11" t="s">
        <v>361</v>
      </c>
      <c r="B50" s="9" t="s">
        <v>362</v>
      </c>
      <c r="C50" s="10">
        <v>1</v>
      </c>
      <c r="D50" s="10"/>
      <c r="E50" s="10">
        <v>1</v>
      </c>
      <c r="F50" s="10"/>
      <c r="G50" s="10">
        <v>1</v>
      </c>
      <c r="H50" s="10"/>
      <c r="I50" s="10"/>
      <c r="J50" s="10">
        <f t="shared" si="0"/>
        <v>3</v>
      </c>
    </row>
    <row r="51" spans="1:10">
      <c r="A51" s="11" t="s">
        <v>153</v>
      </c>
      <c r="B51" s="9" t="s">
        <v>154</v>
      </c>
      <c r="C51" s="10">
        <v>1</v>
      </c>
      <c r="D51" s="10"/>
      <c r="E51" s="10"/>
      <c r="F51" s="10"/>
      <c r="G51" s="10"/>
      <c r="H51" s="10"/>
      <c r="I51" s="10"/>
      <c r="J51" s="10">
        <f t="shared" si="0"/>
        <v>1</v>
      </c>
    </row>
    <row r="52" spans="1:10">
      <c r="A52" s="11" t="s">
        <v>363</v>
      </c>
      <c r="B52" s="9" t="s">
        <v>364</v>
      </c>
      <c r="C52" s="10">
        <v>1</v>
      </c>
      <c r="D52" s="10"/>
      <c r="E52" s="10"/>
      <c r="F52" s="10"/>
      <c r="G52" s="10"/>
      <c r="H52" s="10"/>
      <c r="I52" s="10"/>
      <c r="J52" s="10">
        <f t="shared" si="0"/>
        <v>1</v>
      </c>
    </row>
    <row r="53" spans="1:10">
      <c r="A53" s="11" t="s">
        <v>155</v>
      </c>
      <c r="B53" s="9" t="s">
        <v>156</v>
      </c>
      <c r="C53" s="10">
        <v>1</v>
      </c>
      <c r="D53" s="10"/>
      <c r="E53" s="10"/>
      <c r="F53" s="10"/>
      <c r="G53" s="10">
        <v>1</v>
      </c>
      <c r="H53" s="10"/>
      <c r="I53" s="10"/>
      <c r="J53" s="10">
        <f t="shared" si="0"/>
        <v>2</v>
      </c>
    </row>
    <row r="54" spans="1:10">
      <c r="A54" s="11" t="s">
        <v>365</v>
      </c>
      <c r="B54" s="9" t="s">
        <v>366</v>
      </c>
      <c r="C54" s="10">
        <v>0</v>
      </c>
      <c r="D54" s="10"/>
      <c r="E54" s="10"/>
      <c r="F54" s="10"/>
      <c r="G54" s="10"/>
      <c r="H54" s="10"/>
      <c r="I54" s="10"/>
      <c r="J54" s="10">
        <f t="shared" si="0"/>
        <v>0</v>
      </c>
    </row>
    <row r="55" spans="1:10">
      <c r="A55" s="11" t="s">
        <v>157</v>
      </c>
      <c r="B55" s="9" t="s">
        <v>158</v>
      </c>
      <c r="C55" s="10">
        <v>1</v>
      </c>
      <c r="D55" s="10">
        <v>1</v>
      </c>
      <c r="E55" s="10"/>
      <c r="F55" s="10"/>
      <c r="G55" s="10"/>
      <c r="H55" s="10"/>
      <c r="I55" s="10"/>
      <c r="J55" s="10">
        <f t="shared" si="0"/>
        <v>2</v>
      </c>
    </row>
    <row r="56" spans="1:10">
      <c r="A56" s="11" t="s">
        <v>167</v>
      </c>
      <c r="B56" s="9" t="s">
        <v>168</v>
      </c>
      <c r="C56" s="10">
        <v>1</v>
      </c>
      <c r="D56" s="10">
        <v>1</v>
      </c>
      <c r="E56" s="10"/>
      <c r="F56" s="10"/>
      <c r="G56" s="10"/>
      <c r="H56" s="10"/>
      <c r="I56" s="10"/>
      <c r="J56" s="10">
        <f t="shared" si="0"/>
        <v>2</v>
      </c>
    </row>
    <row r="57" spans="1:10">
      <c r="A57" s="11" t="s">
        <v>159</v>
      </c>
      <c r="B57" s="9" t="s">
        <v>160</v>
      </c>
      <c r="C57" s="10">
        <v>1</v>
      </c>
      <c r="D57" s="10">
        <v>1</v>
      </c>
      <c r="E57" s="10"/>
      <c r="F57" s="10">
        <v>1</v>
      </c>
      <c r="G57" s="10"/>
      <c r="H57" s="10"/>
      <c r="I57" s="10"/>
      <c r="J57" s="10">
        <f t="shared" si="0"/>
        <v>3</v>
      </c>
    </row>
    <row r="58" spans="1:10">
      <c r="A58" s="11" t="s">
        <v>169</v>
      </c>
      <c r="B58" s="9" t="s">
        <v>170</v>
      </c>
      <c r="C58" s="10">
        <v>1</v>
      </c>
      <c r="D58" s="10"/>
      <c r="E58" s="10"/>
      <c r="F58" s="10"/>
      <c r="G58" s="10"/>
      <c r="H58" s="10"/>
      <c r="I58" s="10"/>
      <c r="J58" s="10">
        <f t="shared" si="0"/>
        <v>1</v>
      </c>
    </row>
    <row r="59" spans="1:10">
      <c r="A59" s="11" t="s">
        <v>161</v>
      </c>
      <c r="B59" s="9" t="s">
        <v>162</v>
      </c>
      <c r="C59" s="10">
        <v>1</v>
      </c>
      <c r="D59" s="10"/>
      <c r="E59" s="10">
        <v>1</v>
      </c>
      <c r="F59" s="10"/>
      <c r="G59" s="10">
        <v>1</v>
      </c>
      <c r="H59" s="10"/>
      <c r="I59" s="10"/>
      <c r="J59" s="10">
        <f t="shared" si="0"/>
        <v>3</v>
      </c>
    </row>
    <row r="60" spans="1:10">
      <c r="A60" s="11" t="s">
        <v>171</v>
      </c>
      <c r="B60" s="9" t="s">
        <v>172</v>
      </c>
      <c r="C60" s="10">
        <v>1</v>
      </c>
      <c r="D60" s="10"/>
      <c r="E60" s="10"/>
      <c r="F60" s="10"/>
      <c r="G60" s="10">
        <v>1</v>
      </c>
      <c r="H60" s="10"/>
      <c r="I60" s="10"/>
      <c r="J60" s="10">
        <f t="shared" si="0"/>
        <v>2</v>
      </c>
    </row>
    <row r="61" spans="1:10">
      <c r="A61" s="11" t="s">
        <v>285</v>
      </c>
      <c r="B61" s="9" t="s">
        <v>286</v>
      </c>
      <c r="C61" s="10">
        <v>1</v>
      </c>
      <c r="D61" s="10"/>
      <c r="E61" s="10"/>
      <c r="F61" s="10"/>
      <c r="G61" s="37">
        <v>1</v>
      </c>
      <c r="H61" s="10"/>
      <c r="I61" s="10"/>
      <c r="J61" s="10">
        <f t="shared" si="0"/>
        <v>2</v>
      </c>
    </row>
    <row r="62" spans="1:10">
      <c r="A62" s="11" t="s">
        <v>123</v>
      </c>
      <c r="B62" s="9" t="s">
        <v>124</v>
      </c>
      <c r="C62" s="10">
        <v>1</v>
      </c>
      <c r="D62" s="10"/>
      <c r="E62" s="10"/>
      <c r="F62" s="10"/>
      <c r="G62" s="10"/>
      <c r="H62" s="10"/>
      <c r="I62" s="10"/>
      <c r="J62" s="10">
        <f t="shared" si="0"/>
        <v>1</v>
      </c>
    </row>
    <row r="63" spans="1:10">
      <c r="A63" s="11" t="s">
        <v>287</v>
      </c>
      <c r="B63" s="9" t="s">
        <v>288</v>
      </c>
      <c r="C63" s="10">
        <v>1</v>
      </c>
      <c r="D63" s="10"/>
      <c r="E63" s="10"/>
      <c r="F63" s="10"/>
      <c r="G63" s="10"/>
      <c r="H63" s="10"/>
      <c r="I63" s="10"/>
      <c r="J63" s="10">
        <f t="shared" si="0"/>
        <v>1</v>
      </c>
    </row>
    <row r="64" spans="1:10">
      <c r="A64" s="11" t="s">
        <v>125</v>
      </c>
      <c r="B64" s="9" t="s">
        <v>126</v>
      </c>
      <c r="C64" s="10">
        <v>1</v>
      </c>
      <c r="D64" s="10"/>
      <c r="E64" s="10"/>
      <c r="F64" s="10"/>
      <c r="G64" s="10"/>
      <c r="H64" s="10"/>
      <c r="I64" s="10"/>
      <c r="J64" s="10">
        <f t="shared" si="0"/>
        <v>1</v>
      </c>
    </row>
    <row r="65" spans="1:10">
      <c r="A65" s="11" t="s">
        <v>672</v>
      </c>
      <c r="B65" s="9" t="s">
        <v>673</v>
      </c>
      <c r="C65" s="10">
        <v>1</v>
      </c>
      <c r="D65" s="10"/>
      <c r="E65" s="10"/>
      <c r="F65" s="10"/>
      <c r="G65" s="10"/>
      <c r="H65" s="10"/>
      <c r="I65" s="10"/>
      <c r="J65" s="10">
        <f t="shared" si="0"/>
        <v>1</v>
      </c>
    </row>
    <row r="66" spans="1:10">
      <c r="A66" s="11" t="s">
        <v>289</v>
      </c>
      <c r="B66" s="9" t="s">
        <v>290</v>
      </c>
      <c r="C66" s="10">
        <v>1</v>
      </c>
      <c r="D66" s="10"/>
      <c r="E66" s="10">
        <v>1</v>
      </c>
      <c r="F66" s="10"/>
      <c r="G66" s="10"/>
      <c r="H66" s="10"/>
      <c r="I66" s="10"/>
      <c r="J66" s="10">
        <f t="shared" si="0"/>
        <v>2</v>
      </c>
    </row>
    <row r="67" spans="1:10">
      <c r="A67" s="11" t="s">
        <v>674</v>
      </c>
      <c r="B67" s="9" t="s">
        <v>675</v>
      </c>
      <c r="C67" s="10">
        <v>1</v>
      </c>
      <c r="D67" s="10"/>
      <c r="E67" s="10"/>
      <c r="F67" s="10"/>
      <c r="G67" s="10">
        <v>1</v>
      </c>
      <c r="H67" s="10"/>
      <c r="I67" s="10"/>
      <c r="J67" s="10">
        <f t="shared" si="0"/>
        <v>2</v>
      </c>
    </row>
    <row r="68" spans="1:10">
      <c r="A68" s="11" t="s">
        <v>291</v>
      </c>
      <c r="B68" s="9" t="s">
        <v>292</v>
      </c>
      <c r="C68" s="10">
        <v>0</v>
      </c>
      <c r="D68" s="10"/>
      <c r="E68" s="10">
        <v>1</v>
      </c>
      <c r="F68" s="10"/>
      <c r="G68" s="10"/>
      <c r="H68" s="10"/>
      <c r="I68" s="10"/>
      <c r="J68" s="10">
        <f t="shared" ref="J68:J91" si="1">SUM(C68:I68)</f>
        <v>1</v>
      </c>
    </row>
    <row r="69" spans="1:10">
      <c r="A69" s="11" t="s">
        <v>676</v>
      </c>
      <c r="B69" s="9" t="s">
        <v>677</v>
      </c>
      <c r="C69" s="10">
        <v>1</v>
      </c>
      <c r="D69" s="10"/>
      <c r="E69" s="10"/>
      <c r="F69" s="10"/>
      <c r="G69" s="10"/>
      <c r="H69" s="10"/>
      <c r="I69" s="10"/>
      <c r="J69" s="10">
        <f t="shared" si="1"/>
        <v>1</v>
      </c>
    </row>
    <row r="70" spans="1:10">
      <c r="A70" s="11" t="s">
        <v>293</v>
      </c>
      <c r="B70" s="9" t="s">
        <v>294</v>
      </c>
      <c r="C70" s="10">
        <v>1</v>
      </c>
      <c r="D70" s="10">
        <v>1</v>
      </c>
      <c r="E70" s="10">
        <v>1</v>
      </c>
      <c r="F70" s="10">
        <v>1</v>
      </c>
      <c r="G70" s="10"/>
      <c r="H70" s="10"/>
      <c r="I70" s="10"/>
      <c r="J70" s="10">
        <f t="shared" si="1"/>
        <v>4</v>
      </c>
    </row>
    <row r="71" spans="1:10">
      <c r="A71" s="11" t="s">
        <v>678</v>
      </c>
      <c r="B71" s="9" t="s">
        <v>679</v>
      </c>
      <c r="C71" s="10">
        <v>1</v>
      </c>
      <c r="D71" s="10">
        <v>1</v>
      </c>
      <c r="E71" s="10">
        <v>1</v>
      </c>
      <c r="F71" s="10"/>
      <c r="G71" s="10">
        <v>1</v>
      </c>
      <c r="H71" s="10"/>
      <c r="I71" s="10"/>
      <c r="J71" s="10">
        <f t="shared" si="1"/>
        <v>4</v>
      </c>
    </row>
    <row r="72" spans="1:10">
      <c r="A72" s="11" t="s">
        <v>295</v>
      </c>
      <c r="B72" s="9" t="s">
        <v>296</v>
      </c>
      <c r="C72" s="10">
        <v>1</v>
      </c>
      <c r="D72" s="10"/>
      <c r="E72" s="10"/>
      <c r="F72" s="10"/>
      <c r="G72" s="10">
        <v>1</v>
      </c>
      <c r="H72" s="10"/>
      <c r="I72" s="10"/>
      <c r="J72" s="10">
        <f t="shared" si="1"/>
        <v>2</v>
      </c>
    </row>
    <row r="73" spans="1:10">
      <c r="A73" s="11" t="s">
        <v>680</v>
      </c>
      <c r="B73" s="9" t="s">
        <v>681</v>
      </c>
      <c r="C73" s="10">
        <v>1</v>
      </c>
      <c r="D73" s="10"/>
      <c r="E73" s="10">
        <v>1</v>
      </c>
      <c r="F73" s="10">
        <v>1</v>
      </c>
      <c r="G73" s="10"/>
      <c r="H73" s="10"/>
      <c r="I73" s="10"/>
      <c r="J73" s="10">
        <f t="shared" si="1"/>
        <v>3</v>
      </c>
    </row>
    <row r="74" spans="1:10">
      <c r="A74" s="11" t="s">
        <v>647</v>
      </c>
      <c r="B74" s="9" t="s">
        <v>648</v>
      </c>
      <c r="C74" s="10">
        <v>1</v>
      </c>
      <c r="D74" s="10">
        <v>1</v>
      </c>
      <c r="E74" s="10"/>
      <c r="F74" s="10"/>
      <c r="G74" s="10"/>
      <c r="H74" s="10"/>
      <c r="I74" s="10"/>
      <c r="J74" s="10">
        <f t="shared" si="1"/>
        <v>2</v>
      </c>
    </row>
    <row r="75" spans="1:10">
      <c r="A75" s="11" t="s">
        <v>682</v>
      </c>
      <c r="B75" s="9" t="s">
        <v>683</v>
      </c>
      <c r="C75" s="10">
        <v>1</v>
      </c>
      <c r="D75" s="10"/>
      <c r="E75" s="10"/>
      <c r="F75" s="10"/>
      <c r="G75" s="10"/>
      <c r="H75" s="10"/>
      <c r="I75" s="10"/>
      <c r="J75" s="10">
        <f t="shared" si="1"/>
        <v>1</v>
      </c>
    </row>
    <row r="76" spans="1:10">
      <c r="A76" s="11" t="s">
        <v>649</v>
      </c>
      <c r="B76" s="9" t="s">
        <v>650</v>
      </c>
      <c r="C76" s="10">
        <v>1</v>
      </c>
      <c r="D76" s="10"/>
      <c r="E76" s="10"/>
      <c r="F76" s="10"/>
      <c r="G76" s="10"/>
      <c r="H76" s="10"/>
      <c r="I76" s="10"/>
      <c r="J76" s="10">
        <f t="shared" si="1"/>
        <v>1</v>
      </c>
    </row>
    <row r="77" spans="1:10">
      <c r="A77" s="11" t="s">
        <v>651</v>
      </c>
      <c r="B77" s="9" t="s">
        <v>652</v>
      </c>
      <c r="C77" s="10">
        <v>1</v>
      </c>
      <c r="D77" s="10"/>
      <c r="E77" s="10"/>
      <c r="F77" s="10"/>
      <c r="G77" s="10">
        <v>1</v>
      </c>
      <c r="H77" s="10"/>
      <c r="I77" s="10"/>
      <c r="J77" s="10">
        <f t="shared" si="1"/>
        <v>2</v>
      </c>
    </row>
    <row r="78" spans="1:10">
      <c r="A78" s="11" t="s">
        <v>212</v>
      </c>
      <c r="B78" s="9" t="s">
        <v>213</v>
      </c>
      <c r="C78" s="10">
        <v>0</v>
      </c>
      <c r="D78" s="10"/>
      <c r="E78" s="10">
        <v>1</v>
      </c>
      <c r="F78" s="10"/>
      <c r="G78" s="10"/>
      <c r="H78" s="10"/>
      <c r="I78" s="10"/>
      <c r="J78" s="10">
        <f t="shared" si="1"/>
        <v>1</v>
      </c>
    </row>
    <row r="79" spans="1:10">
      <c r="A79" s="11" t="s">
        <v>653</v>
      </c>
      <c r="B79" s="9" t="s">
        <v>654</v>
      </c>
      <c r="C79" s="10">
        <v>1</v>
      </c>
      <c r="D79" s="10"/>
      <c r="E79" s="10"/>
      <c r="F79" s="10"/>
      <c r="G79" s="10"/>
      <c r="H79" s="10"/>
      <c r="I79" s="10"/>
      <c r="J79" s="10">
        <f t="shared" si="1"/>
        <v>1</v>
      </c>
    </row>
    <row r="80" spans="1:10">
      <c r="A80" s="11" t="s">
        <v>655</v>
      </c>
      <c r="B80" s="9" t="s">
        <v>656</v>
      </c>
      <c r="C80" s="10">
        <v>1</v>
      </c>
      <c r="D80" s="10"/>
      <c r="E80" s="10">
        <v>1</v>
      </c>
      <c r="F80" s="10"/>
      <c r="G80" s="10"/>
      <c r="H80" s="10"/>
      <c r="I80" s="10"/>
      <c r="J80" s="10">
        <f t="shared" si="1"/>
        <v>2</v>
      </c>
    </row>
    <row r="81" spans="1:10">
      <c r="A81" s="11" t="s">
        <v>216</v>
      </c>
      <c r="B81" s="9" t="s">
        <v>217</v>
      </c>
      <c r="C81" s="10">
        <v>1</v>
      </c>
      <c r="D81" s="10">
        <v>1</v>
      </c>
      <c r="E81" s="10"/>
      <c r="F81" s="10"/>
      <c r="G81" s="10"/>
      <c r="H81" s="10"/>
      <c r="I81" s="10"/>
      <c r="J81" s="10">
        <f t="shared" si="1"/>
        <v>2</v>
      </c>
    </row>
    <row r="82" spans="1:10">
      <c r="A82" s="11" t="s">
        <v>218</v>
      </c>
      <c r="B82" s="9" t="s">
        <v>219</v>
      </c>
      <c r="C82" s="10">
        <v>1</v>
      </c>
      <c r="D82" s="10"/>
      <c r="E82" s="10"/>
      <c r="F82" s="10"/>
      <c r="G82" s="10"/>
      <c r="H82" s="10"/>
      <c r="I82" s="10"/>
      <c r="J82" s="10">
        <f t="shared" si="1"/>
        <v>1</v>
      </c>
    </row>
    <row r="83" spans="1:10">
      <c r="A83" s="11" t="s">
        <v>657</v>
      </c>
      <c r="B83" s="9" t="s">
        <v>658</v>
      </c>
      <c r="C83" s="10">
        <v>1</v>
      </c>
      <c r="D83" s="10"/>
      <c r="E83" s="10"/>
      <c r="F83" s="10"/>
      <c r="G83" s="10"/>
      <c r="H83" s="10"/>
      <c r="I83" s="10"/>
      <c r="J83" s="10">
        <f t="shared" si="1"/>
        <v>1</v>
      </c>
    </row>
    <row r="84" spans="1:10">
      <c r="A84" s="11" t="s">
        <v>179</v>
      </c>
      <c r="B84" s="9" t="s">
        <v>180</v>
      </c>
      <c r="C84" s="10">
        <v>1</v>
      </c>
      <c r="D84" s="10"/>
      <c r="E84" s="10"/>
      <c r="F84" s="10"/>
      <c r="G84" s="10"/>
      <c r="H84" s="10"/>
      <c r="I84" s="10"/>
      <c r="J84" s="10">
        <f t="shared" si="1"/>
        <v>1</v>
      </c>
    </row>
    <row r="85" spans="1:10">
      <c r="A85" s="11" t="s">
        <v>181</v>
      </c>
      <c r="B85" s="9" t="s">
        <v>182</v>
      </c>
      <c r="C85" s="10">
        <v>1</v>
      </c>
      <c r="D85" s="10"/>
      <c r="E85" s="10">
        <v>1</v>
      </c>
      <c r="F85" s="10">
        <v>1</v>
      </c>
      <c r="G85" s="10"/>
      <c r="H85" s="10"/>
      <c r="I85" s="10"/>
      <c r="J85" s="10">
        <f t="shared" si="1"/>
        <v>3</v>
      </c>
    </row>
    <row r="86" spans="1:10">
      <c r="A86" s="11" t="s">
        <v>183</v>
      </c>
      <c r="B86" s="9" t="s">
        <v>184</v>
      </c>
      <c r="C86" s="19">
        <v>1</v>
      </c>
      <c r="D86" s="10"/>
      <c r="E86" s="10"/>
      <c r="F86" s="10"/>
      <c r="G86" s="10"/>
      <c r="H86" s="10"/>
      <c r="I86" s="10"/>
      <c r="J86" s="10">
        <f t="shared" si="1"/>
        <v>1</v>
      </c>
    </row>
    <row r="87" spans="1:10">
      <c r="A87" s="11" t="s">
        <v>659</v>
      </c>
      <c r="B87" s="9" t="s">
        <v>660</v>
      </c>
      <c r="C87" s="19">
        <v>1</v>
      </c>
      <c r="D87" s="10"/>
      <c r="E87" s="10"/>
      <c r="F87" s="10"/>
      <c r="G87" s="10"/>
      <c r="H87" s="10"/>
      <c r="I87" s="10"/>
      <c r="J87" s="10">
        <f t="shared" si="1"/>
        <v>1</v>
      </c>
    </row>
    <row r="88" spans="1:10">
      <c r="A88" s="13">
        <v>496510099</v>
      </c>
      <c r="B88" s="9" t="s">
        <v>134</v>
      </c>
      <c r="C88" s="10">
        <v>1</v>
      </c>
      <c r="D88" s="10"/>
      <c r="E88" s="10"/>
      <c r="F88" s="10"/>
      <c r="G88" s="10"/>
      <c r="H88" s="10"/>
      <c r="I88" s="10"/>
      <c r="J88" s="10">
        <f t="shared" si="1"/>
        <v>1</v>
      </c>
    </row>
    <row r="89" spans="1:10">
      <c r="A89" s="13">
        <v>496510100</v>
      </c>
      <c r="B89" s="16" t="s">
        <v>135</v>
      </c>
      <c r="C89" s="10">
        <v>1</v>
      </c>
      <c r="D89" s="10"/>
      <c r="E89" s="10">
        <v>1</v>
      </c>
      <c r="F89" s="10"/>
      <c r="G89" s="10"/>
      <c r="H89" s="10"/>
      <c r="I89" s="10"/>
      <c r="J89" s="10">
        <f t="shared" si="1"/>
        <v>2</v>
      </c>
    </row>
    <row r="90" spans="1:10">
      <c r="A90" s="13">
        <v>496510101</v>
      </c>
      <c r="B90" s="16" t="s">
        <v>136</v>
      </c>
      <c r="C90" s="10">
        <v>1</v>
      </c>
      <c r="D90" s="10"/>
      <c r="E90" s="10"/>
      <c r="F90" s="10"/>
      <c r="G90" s="10"/>
      <c r="H90" s="10"/>
      <c r="I90" s="10"/>
      <c r="J90" s="10">
        <f t="shared" si="1"/>
        <v>1</v>
      </c>
    </row>
    <row r="91" spans="1:10">
      <c r="A91" s="15">
        <v>496510102</v>
      </c>
      <c r="B91" s="14" t="s">
        <v>140</v>
      </c>
      <c r="C91" s="10">
        <v>1</v>
      </c>
      <c r="D91" s="10"/>
      <c r="E91" s="10"/>
      <c r="F91" s="10"/>
      <c r="G91" s="10"/>
      <c r="H91" s="10"/>
      <c r="I91" s="10"/>
      <c r="J91" s="10">
        <f t="shared" si="1"/>
        <v>1</v>
      </c>
    </row>
    <row r="92" spans="1:10">
      <c r="A92" s="35"/>
      <c r="B92" s="36"/>
      <c r="C92" s="6"/>
      <c r="D92" s="6"/>
      <c r="E92" s="6"/>
      <c r="F92" s="6"/>
      <c r="G92" s="6"/>
      <c r="H92" s="6"/>
      <c r="I92" s="6"/>
      <c r="J92" s="6"/>
    </row>
    <row r="93" spans="1:10">
      <c r="A93" s="35"/>
      <c r="B93" s="36"/>
      <c r="C93" s="6"/>
      <c r="D93" s="6"/>
      <c r="E93" s="6"/>
      <c r="F93" s="6"/>
      <c r="G93" s="6"/>
      <c r="H93" s="6"/>
      <c r="I93" s="6"/>
      <c r="J93" s="6"/>
    </row>
    <row r="94" spans="1:10">
      <c r="A94" s="32" t="s">
        <v>907</v>
      </c>
      <c r="B94"/>
      <c r="C94"/>
      <c r="D94"/>
      <c r="E94"/>
      <c r="F94"/>
      <c r="G94"/>
      <c r="H94" t="s">
        <v>909</v>
      </c>
      <c r="I94"/>
      <c r="J94">
        <f>MEDIAN(J3:J91)</f>
        <v>1</v>
      </c>
    </row>
    <row r="95" spans="1:10">
      <c r="A95" s="3" t="s">
        <v>146</v>
      </c>
      <c r="C95" s="6"/>
      <c r="D95" s="6"/>
      <c r="E95" s="6"/>
      <c r="F95" s="6"/>
      <c r="G95" s="6"/>
      <c r="H95" s="6"/>
      <c r="I95" s="6"/>
    </row>
    <row r="96" spans="1:10">
      <c r="A96" s="2" t="s">
        <v>701</v>
      </c>
    </row>
    <row r="97" spans="1:10">
      <c r="A97" s="2" t="s">
        <v>911</v>
      </c>
      <c r="C97" s="6"/>
      <c r="D97" s="6"/>
      <c r="E97" s="6"/>
      <c r="F97" s="6"/>
      <c r="G97" s="6"/>
      <c r="H97" s="6"/>
      <c r="I97" s="6"/>
    </row>
    <row r="98" spans="1:10">
      <c r="A98" s="2" t="s">
        <v>912</v>
      </c>
      <c r="C98" s="6"/>
      <c r="D98" s="6"/>
      <c r="E98" s="6"/>
      <c r="F98" s="6"/>
      <c r="G98" s="6"/>
      <c r="H98" s="6"/>
      <c r="I98" s="6"/>
    </row>
    <row r="99" spans="1:10">
      <c r="A99" t="s">
        <v>916</v>
      </c>
      <c r="B99"/>
      <c r="C99"/>
      <c r="D99"/>
      <c r="E99"/>
      <c r="F99"/>
      <c r="G99"/>
      <c r="H99"/>
      <c r="I99"/>
      <c r="J99"/>
    </row>
    <row r="100" spans="1:10" s="2" customFormat="1">
      <c r="A100" s="2" t="s">
        <v>1118</v>
      </c>
      <c r="C100" s="45"/>
    </row>
    <row r="101" spans="1:10" s="2" customFormat="1">
      <c r="A101" s="2" t="s">
        <v>1120</v>
      </c>
    </row>
    <row r="102" spans="1:10">
      <c r="C102" s="6"/>
      <c r="D102" s="6"/>
      <c r="E102" s="6"/>
      <c r="F102" s="6"/>
      <c r="G102" s="6"/>
      <c r="H102" s="6"/>
      <c r="I102" s="6"/>
    </row>
  </sheetData>
  <phoneticPr fontId="3" type="noConversion"/>
  <hyperlinks>
    <hyperlink ref="G42" r:id="rId1" display="balanceablekey@yahoo.com.tw"/>
    <hyperlink ref="G39" r:id="rId2" display="windidea@yahoo.com.tw"/>
    <hyperlink ref="G40" r:id="rId3" display="sherryamy2002@yahoo.com.tw"/>
    <hyperlink ref="G41" r:id="rId4" display="jay6692@yahoo.com.tw"/>
    <hyperlink ref="G54" r:id="rId5" display="ek10502@yahoo.com.tw"/>
    <hyperlink ref="G87" r:id="rId6" display="bestsherry27@hotmail.com"/>
  </hyperlinks>
  <pageMargins left="0.75" right="0.75" top="1" bottom="1" header="0.5" footer="0.5"/>
  <pageSetup paperSize="9" orientation="portrait" r:id="rId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85" workbookViewId="0">
      <selection activeCell="B100" sqref="B100"/>
    </sheetView>
  </sheetViews>
  <sheetFormatPr defaultRowHeight="16.2"/>
  <cols>
    <col min="1" max="1" width="10.6640625" style="2" customWidth="1"/>
    <col min="2" max="2" width="9" style="2"/>
    <col min="3" max="9" width="6.109375" style="2" customWidth="1"/>
  </cols>
  <sheetData>
    <row r="1" spans="1:9">
      <c r="A1" t="s">
        <v>699</v>
      </c>
      <c r="C1" s="8">
        <f>MAX(I3:I99)</f>
        <v>3</v>
      </c>
    </row>
    <row r="2" spans="1:9">
      <c r="A2" s="22" t="s">
        <v>646</v>
      </c>
      <c r="B2" s="22" t="s">
        <v>661</v>
      </c>
      <c r="C2" s="25" t="s">
        <v>148</v>
      </c>
      <c r="D2" s="25" t="s">
        <v>702</v>
      </c>
      <c r="E2" s="23">
        <v>3</v>
      </c>
      <c r="F2" s="23">
        <v>4</v>
      </c>
      <c r="G2" s="23">
        <v>5</v>
      </c>
      <c r="H2" s="23">
        <v>6</v>
      </c>
      <c r="I2" s="24" t="s">
        <v>143</v>
      </c>
    </row>
    <row r="3" spans="1:9">
      <c r="A3" s="13">
        <v>496510103</v>
      </c>
      <c r="B3" s="14" t="s">
        <v>131</v>
      </c>
      <c r="C3" s="10">
        <v>1</v>
      </c>
      <c r="D3" s="10"/>
      <c r="E3" s="10"/>
      <c r="F3" s="10"/>
      <c r="G3" s="10"/>
      <c r="H3" s="10"/>
      <c r="I3" s="10">
        <f>SUM(C3:H3)</f>
        <v>1</v>
      </c>
    </row>
    <row r="4" spans="1:9">
      <c r="A4" s="11" t="s">
        <v>662</v>
      </c>
      <c r="B4" s="9" t="s">
        <v>663</v>
      </c>
      <c r="C4" s="12">
        <v>0</v>
      </c>
      <c r="D4" s="10"/>
      <c r="E4" s="10"/>
      <c r="F4" s="10"/>
      <c r="G4" s="10"/>
      <c r="H4" s="10"/>
      <c r="I4" s="10">
        <f t="shared" ref="I4:I67" si="0">SUM(C4:H4)</f>
        <v>0</v>
      </c>
    </row>
    <row r="5" spans="1:9">
      <c r="A5" s="11" t="s">
        <v>664</v>
      </c>
      <c r="B5" s="9" t="s">
        <v>665</v>
      </c>
      <c r="C5" s="12">
        <v>0</v>
      </c>
      <c r="D5" s="10"/>
      <c r="E5" s="10"/>
      <c r="F5" s="10"/>
      <c r="G5" s="10"/>
      <c r="H5" s="10"/>
      <c r="I5" s="10">
        <f t="shared" si="0"/>
        <v>0</v>
      </c>
    </row>
    <row r="6" spans="1:9">
      <c r="A6" s="11" t="s">
        <v>668</v>
      </c>
      <c r="B6" s="9" t="s">
        <v>669</v>
      </c>
      <c r="C6" s="10">
        <v>1</v>
      </c>
      <c r="D6" s="10"/>
      <c r="E6" s="10"/>
      <c r="F6" s="10"/>
      <c r="G6" s="10"/>
      <c r="H6" s="10"/>
      <c r="I6" s="10">
        <f t="shared" si="0"/>
        <v>1</v>
      </c>
    </row>
    <row r="7" spans="1:9">
      <c r="A7" s="11" t="s">
        <v>69</v>
      </c>
      <c r="B7" s="9" t="s">
        <v>70</v>
      </c>
      <c r="C7" s="10">
        <v>1</v>
      </c>
      <c r="D7" s="10"/>
      <c r="E7" s="10"/>
      <c r="F7" s="10"/>
      <c r="G7" s="10"/>
      <c r="H7" s="10"/>
      <c r="I7" s="10">
        <f t="shared" si="0"/>
        <v>1</v>
      </c>
    </row>
    <row r="8" spans="1:9">
      <c r="A8" s="11" t="s">
        <v>71</v>
      </c>
      <c r="B8" s="9" t="s">
        <v>72</v>
      </c>
      <c r="C8" s="10">
        <v>1</v>
      </c>
      <c r="D8" s="10"/>
      <c r="E8" s="10"/>
      <c r="F8" s="10"/>
      <c r="G8" s="10"/>
      <c r="H8" s="10"/>
      <c r="I8" s="10">
        <f t="shared" si="0"/>
        <v>1</v>
      </c>
    </row>
    <row r="9" spans="1:9">
      <c r="A9" s="11" t="s">
        <v>73</v>
      </c>
      <c r="B9" s="9" t="s">
        <v>74</v>
      </c>
      <c r="C9" s="12">
        <v>0</v>
      </c>
      <c r="D9" s="10"/>
      <c r="E9" s="10"/>
      <c r="F9" s="10"/>
      <c r="G9" s="10"/>
      <c r="H9" s="10"/>
      <c r="I9" s="10">
        <f t="shared" si="0"/>
        <v>0</v>
      </c>
    </row>
    <row r="10" spans="1:9">
      <c r="A10" s="11" t="s">
        <v>670</v>
      </c>
      <c r="B10" s="9" t="s">
        <v>671</v>
      </c>
      <c r="C10" s="10">
        <v>1</v>
      </c>
      <c r="D10" s="10">
        <v>1</v>
      </c>
      <c r="E10" s="10">
        <v>1</v>
      </c>
      <c r="F10" s="10"/>
      <c r="G10" s="10"/>
      <c r="H10" s="10"/>
      <c r="I10" s="10">
        <f t="shared" si="0"/>
        <v>3</v>
      </c>
    </row>
    <row r="11" spans="1:9">
      <c r="A11" s="11" t="s">
        <v>75</v>
      </c>
      <c r="B11" s="9" t="s">
        <v>76</v>
      </c>
      <c r="C11" s="10">
        <v>1</v>
      </c>
      <c r="D11" s="10"/>
      <c r="E11" s="10"/>
      <c r="F11" s="10"/>
      <c r="G11" s="10"/>
      <c r="H11" s="10"/>
      <c r="I11" s="10">
        <f t="shared" si="0"/>
        <v>1</v>
      </c>
    </row>
    <row r="12" spans="1:9">
      <c r="A12" s="11" t="s">
        <v>591</v>
      </c>
      <c r="B12" s="9" t="s">
        <v>592</v>
      </c>
      <c r="C12" s="10">
        <v>1</v>
      </c>
      <c r="D12" s="10"/>
      <c r="E12" s="10"/>
      <c r="F12" s="10"/>
      <c r="G12" s="10"/>
      <c r="H12" s="10"/>
      <c r="I12" s="10">
        <f t="shared" si="0"/>
        <v>1</v>
      </c>
    </row>
    <row r="13" spans="1:9">
      <c r="A13" s="11" t="s">
        <v>77</v>
      </c>
      <c r="B13" s="9" t="s">
        <v>78</v>
      </c>
      <c r="C13" s="10">
        <v>1</v>
      </c>
      <c r="D13" s="10"/>
      <c r="E13" s="10"/>
      <c r="F13" s="10"/>
      <c r="G13" s="10"/>
      <c r="H13" s="10"/>
      <c r="I13" s="10">
        <f t="shared" si="0"/>
        <v>1</v>
      </c>
    </row>
    <row r="14" spans="1:9">
      <c r="A14" s="11" t="s">
        <v>593</v>
      </c>
      <c r="B14" s="9" t="s">
        <v>594</v>
      </c>
      <c r="C14" s="10">
        <v>1</v>
      </c>
      <c r="D14" s="10"/>
      <c r="E14" s="10"/>
      <c r="F14" s="10"/>
      <c r="G14" s="10"/>
      <c r="H14" s="10"/>
      <c r="I14" s="10">
        <f t="shared" si="0"/>
        <v>1</v>
      </c>
    </row>
    <row r="15" spans="1:9">
      <c r="A15" s="11" t="s">
        <v>79</v>
      </c>
      <c r="B15" s="9" t="s">
        <v>80</v>
      </c>
      <c r="C15" s="10">
        <v>1</v>
      </c>
      <c r="D15" s="10"/>
      <c r="E15" s="10"/>
      <c r="F15" s="10"/>
      <c r="G15" s="10"/>
      <c r="H15" s="10"/>
      <c r="I15" s="10">
        <f t="shared" si="0"/>
        <v>1</v>
      </c>
    </row>
    <row r="16" spans="1:9">
      <c r="A16" s="11" t="s">
        <v>595</v>
      </c>
      <c r="B16" s="9" t="s">
        <v>596</v>
      </c>
      <c r="C16" s="10">
        <v>1</v>
      </c>
      <c r="D16" s="10">
        <v>1</v>
      </c>
      <c r="E16" s="10"/>
      <c r="F16" s="10"/>
      <c r="G16" s="10"/>
      <c r="H16" s="10"/>
      <c r="I16" s="10">
        <f t="shared" si="0"/>
        <v>2</v>
      </c>
    </row>
    <row r="17" spans="1:9">
      <c r="A17" s="11" t="s">
        <v>81</v>
      </c>
      <c r="B17" s="9" t="s">
        <v>82</v>
      </c>
      <c r="C17" s="10">
        <v>1</v>
      </c>
      <c r="D17" s="10">
        <v>1</v>
      </c>
      <c r="E17" s="10"/>
      <c r="F17" s="10"/>
      <c r="G17" s="10"/>
      <c r="H17" s="10"/>
      <c r="I17" s="10">
        <f t="shared" si="0"/>
        <v>2</v>
      </c>
    </row>
    <row r="18" spans="1:9">
      <c r="A18" s="11" t="s">
        <v>597</v>
      </c>
      <c r="B18" s="9" t="s">
        <v>598</v>
      </c>
      <c r="C18" s="10">
        <v>1</v>
      </c>
      <c r="D18" s="10"/>
      <c r="E18" s="10"/>
      <c r="F18" s="10"/>
      <c r="G18" s="10"/>
      <c r="H18" s="10"/>
      <c r="I18" s="10">
        <f t="shared" si="0"/>
        <v>1</v>
      </c>
    </row>
    <row r="19" spans="1:9">
      <c r="A19" s="11" t="s">
        <v>83</v>
      </c>
      <c r="B19" s="9" t="s">
        <v>84</v>
      </c>
      <c r="C19" s="10">
        <v>1</v>
      </c>
      <c r="D19" s="10"/>
      <c r="E19" s="10"/>
      <c r="F19" s="10"/>
      <c r="G19" s="10"/>
      <c r="H19" s="10"/>
      <c r="I19" s="10">
        <f t="shared" si="0"/>
        <v>1</v>
      </c>
    </row>
    <row r="20" spans="1:9">
      <c r="A20" s="11" t="s">
        <v>599</v>
      </c>
      <c r="B20" s="9" t="s">
        <v>600</v>
      </c>
      <c r="C20" s="10">
        <v>1</v>
      </c>
      <c r="D20" s="10">
        <v>1</v>
      </c>
      <c r="E20" s="10"/>
      <c r="F20" s="10"/>
      <c r="G20" s="10"/>
      <c r="H20" s="10"/>
      <c r="I20" s="10">
        <f t="shared" si="0"/>
        <v>2</v>
      </c>
    </row>
    <row r="21" spans="1:9">
      <c r="A21" s="11" t="s">
        <v>85</v>
      </c>
      <c r="B21" s="9" t="s">
        <v>86</v>
      </c>
      <c r="C21" s="10">
        <v>1</v>
      </c>
      <c r="D21" s="10"/>
      <c r="E21" s="10"/>
      <c r="F21" s="10"/>
      <c r="G21" s="10"/>
      <c r="H21" s="10"/>
      <c r="I21" s="10">
        <f t="shared" si="0"/>
        <v>1</v>
      </c>
    </row>
    <row r="22" spans="1:9">
      <c r="A22" s="11" t="s">
        <v>601</v>
      </c>
      <c r="B22" s="9" t="s">
        <v>602</v>
      </c>
      <c r="C22" s="10">
        <v>1</v>
      </c>
      <c r="D22" s="10">
        <v>1</v>
      </c>
      <c r="E22" s="10"/>
      <c r="F22" s="10"/>
      <c r="G22" s="10"/>
      <c r="H22" s="10"/>
      <c r="I22" s="10">
        <f t="shared" si="0"/>
        <v>2</v>
      </c>
    </row>
    <row r="23" spans="1:9">
      <c r="A23" s="11" t="s">
        <v>87</v>
      </c>
      <c r="B23" s="9" t="s">
        <v>88</v>
      </c>
      <c r="C23" s="10">
        <v>1</v>
      </c>
      <c r="D23" s="10"/>
      <c r="E23" s="10"/>
      <c r="F23" s="10"/>
      <c r="G23" s="10"/>
      <c r="H23" s="10"/>
      <c r="I23" s="10">
        <f t="shared" si="0"/>
        <v>1</v>
      </c>
    </row>
    <row r="24" spans="1:9">
      <c r="A24" s="11" t="s">
        <v>603</v>
      </c>
      <c r="B24" s="9" t="s">
        <v>604</v>
      </c>
      <c r="C24" s="10">
        <v>1</v>
      </c>
      <c r="D24" s="10"/>
      <c r="E24" s="10"/>
      <c r="F24" s="10"/>
      <c r="G24" s="10"/>
      <c r="H24" s="10"/>
      <c r="I24" s="10">
        <f t="shared" si="0"/>
        <v>1</v>
      </c>
    </row>
    <row r="25" spans="1:9">
      <c r="A25" s="11" t="s">
        <v>89</v>
      </c>
      <c r="B25" s="9" t="s">
        <v>90</v>
      </c>
      <c r="C25" s="10">
        <v>1</v>
      </c>
      <c r="D25" s="10"/>
      <c r="E25" s="10"/>
      <c r="F25" s="10"/>
      <c r="G25" s="10"/>
      <c r="H25" s="10"/>
      <c r="I25" s="10">
        <f t="shared" si="0"/>
        <v>1</v>
      </c>
    </row>
    <row r="26" spans="1:9">
      <c r="A26" s="11" t="s">
        <v>684</v>
      </c>
      <c r="B26" s="9" t="s">
        <v>685</v>
      </c>
      <c r="C26" s="10">
        <v>1</v>
      </c>
      <c r="D26" s="10"/>
      <c r="E26" s="10"/>
      <c r="F26" s="10"/>
      <c r="G26" s="10"/>
      <c r="H26" s="10"/>
      <c r="I26" s="10">
        <f t="shared" si="0"/>
        <v>1</v>
      </c>
    </row>
    <row r="27" spans="1:9">
      <c r="A27" s="11" t="s">
        <v>91</v>
      </c>
      <c r="B27" s="9" t="s">
        <v>92</v>
      </c>
      <c r="C27" s="10">
        <v>1</v>
      </c>
      <c r="D27" s="10">
        <v>1</v>
      </c>
      <c r="E27" s="10">
        <v>1</v>
      </c>
      <c r="F27" s="10"/>
      <c r="G27" s="10"/>
      <c r="H27" s="10"/>
      <c r="I27" s="10">
        <f t="shared" si="0"/>
        <v>3</v>
      </c>
    </row>
    <row r="28" spans="1:9">
      <c r="A28" s="11" t="s">
        <v>686</v>
      </c>
      <c r="B28" s="9" t="s">
        <v>687</v>
      </c>
      <c r="C28" s="10">
        <v>1</v>
      </c>
      <c r="D28" s="10">
        <v>1</v>
      </c>
      <c r="E28" s="10"/>
      <c r="F28" s="10"/>
      <c r="G28" s="10"/>
      <c r="H28" s="10"/>
      <c r="I28" s="10">
        <f t="shared" si="0"/>
        <v>2</v>
      </c>
    </row>
    <row r="29" spans="1:9">
      <c r="A29" s="11" t="s">
        <v>93</v>
      </c>
      <c r="B29" s="9" t="s">
        <v>94</v>
      </c>
      <c r="C29" s="10">
        <v>1</v>
      </c>
      <c r="D29" s="10"/>
      <c r="E29" s="10"/>
      <c r="F29" s="10"/>
      <c r="G29" s="10"/>
      <c r="H29" s="10"/>
      <c r="I29" s="10">
        <f t="shared" si="0"/>
        <v>1</v>
      </c>
    </row>
    <row r="30" spans="1:9">
      <c r="A30" s="11" t="s">
        <v>688</v>
      </c>
      <c r="B30" s="9" t="s">
        <v>689</v>
      </c>
      <c r="C30" s="10">
        <v>1</v>
      </c>
      <c r="D30" s="10"/>
      <c r="E30" s="10"/>
      <c r="F30" s="10"/>
      <c r="G30" s="10"/>
      <c r="H30" s="10"/>
      <c r="I30" s="10">
        <f t="shared" si="0"/>
        <v>1</v>
      </c>
    </row>
    <row r="31" spans="1:9">
      <c r="A31" s="11" t="s">
        <v>95</v>
      </c>
      <c r="B31" s="9" t="s">
        <v>96</v>
      </c>
      <c r="C31" s="10">
        <v>1</v>
      </c>
      <c r="D31" s="10"/>
      <c r="E31" s="10"/>
      <c r="F31" s="10"/>
      <c r="G31" s="10"/>
      <c r="H31" s="10"/>
      <c r="I31" s="10">
        <f t="shared" si="0"/>
        <v>1</v>
      </c>
    </row>
    <row r="32" spans="1:9">
      <c r="A32" s="11" t="s">
        <v>548</v>
      </c>
      <c r="B32" s="9" t="s">
        <v>549</v>
      </c>
      <c r="C32" s="10">
        <v>1</v>
      </c>
      <c r="D32" s="10"/>
      <c r="E32" s="10"/>
      <c r="F32" s="10"/>
      <c r="G32" s="10"/>
      <c r="H32" s="10"/>
      <c r="I32" s="10">
        <f t="shared" si="0"/>
        <v>1</v>
      </c>
    </row>
    <row r="33" spans="1:9">
      <c r="A33" s="11" t="s">
        <v>690</v>
      </c>
      <c r="B33" s="9" t="s">
        <v>691</v>
      </c>
      <c r="C33" s="10">
        <v>1</v>
      </c>
      <c r="D33" s="10"/>
      <c r="E33" s="10"/>
      <c r="F33" s="10"/>
      <c r="G33" s="10"/>
      <c r="H33" s="10"/>
      <c r="I33" s="10">
        <f t="shared" si="0"/>
        <v>1</v>
      </c>
    </row>
    <row r="34" spans="1:9">
      <c r="A34" s="11" t="s">
        <v>692</v>
      </c>
      <c r="B34" s="9" t="s">
        <v>693</v>
      </c>
      <c r="C34" s="10">
        <v>1</v>
      </c>
      <c r="D34" s="10"/>
      <c r="E34" s="10"/>
      <c r="F34" s="10"/>
      <c r="G34" s="10"/>
      <c r="H34" s="10"/>
      <c r="I34" s="10">
        <f t="shared" si="0"/>
        <v>1</v>
      </c>
    </row>
    <row r="35" spans="1:9">
      <c r="A35" s="11" t="s">
        <v>550</v>
      </c>
      <c r="B35" s="9" t="s">
        <v>551</v>
      </c>
      <c r="C35" s="10">
        <v>1</v>
      </c>
      <c r="D35" s="10"/>
      <c r="E35" s="10"/>
      <c r="F35" s="10"/>
      <c r="G35" s="10">
        <v>1</v>
      </c>
      <c r="H35" s="10"/>
      <c r="I35" s="10">
        <f t="shared" si="0"/>
        <v>2</v>
      </c>
    </row>
    <row r="36" spans="1:9">
      <c r="A36" s="11" t="s">
        <v>694</v>
      </c>
      <c r="B36" s="9" t="s">
        <v>132</v>
      </c>
      <c r="C36" s="10">
        <v>1</v>
      </c>
      <c r="D36" s="10"/>
      <c r="E36" s="10"/>
      <c r="F36" s="10"/>
      <c r="G36" s="10"/>
      <c r="H36" s="10"/>
      <c r="I36" s="10">
        <f t="shared" si="0"/>
        <v>1</v>
      </c>
    </row>
    <row r="37" spans="1:9">
      <c r="A37" s="11" t="s">
        <v>552</v>
      </c>
      <c r="B37" s="9" t="s">
        <v>553</v>
      </c>
      <c r="C37" s="10">
        <v>1</v>
      </c>
      <c r="D37" s="10"/>
      <c r="E37" s="10"/>
      <c r="F37" s="10"/>
      <c r="G37" s="10"/>
      <c r="H37" s="10"/>
      <c r="I37" s="10">
        <f t="shared" si="0"/>
        <v>1</v>
      </c>
    </row>
    <row r="38" spans="1:9">
      <c r="A38" s="11" t="s">
        <v>695</v>
      </c>
      <c r="B38" s="9" t="s">
        <v>696</v>
      </c>
      <c r="C38" s="10">
        <v>1</v>
      </c>
      <c r="D38" s="10">
        <v>1</v>
      </c>
      <c r="E38" s="10"/>
      <c r="F38" s="10"/>
      <c r="G38" s="10"/>
      <c r="H38" s="10"/>
      <c r="I38" s="10">
        <f t="shared" si="0"/>
        <v>2</v>
      </c>
    </row>
    <row r="39" spans="1:9">
      <c r="A39" s="11" t="s">
        <v>554</v>
      </c>
      <c r="B39" s="9" t="s">
        <v>555</v>
      </c>
      <c r="C39" s="10">
        <v>1</v>
      </c>
      <c r="D39" s="10">
        <v>1</v>
      </c>
      <c r="E39" s="10"/>
      <c r="F39" s="10"/>
      <c r="G39" s="10"/>
      <c r="H39" s="10"/>
      <c r="I39" s="10">
        <f t="shared" si="0"/>
        <v>2</v>
      </c>
    </row>
    <row r="40" spans="1:9">
      <c r="A40" s="11" t="s">
        <v>98</v>
      </c>
      <c r="B40" s="9" t="s">
        <v>99</v>
      </c>
      <c r="C40" s="10">
        <v>1</v>
      </c>
      <c r="D40" s="10"/>
      <c r="E40" s="10"/>
      <c r="F40" s="10"/>
      <c r="G40" s="10"/>
      <c r="H40" s="10"/>
      <c r="I40" s="10">
        <f t="shared" si="0"/>
        <v>1</v>
      </c>
    </row>
    <row r="41" spans="1:9">
      <c r="A41" s="11" t="s">
        <v>421</v>
      </c>
      <c r="B41" s="9" t="s">
        <v>422</v>
      </c>
      <c r="C41" s="10">
        <v>1</v>
      </c>
      <c r="D41" s="10"/>
      <c r="E41" s="10"/>
      <c r="F41" s="10"/>
      <c r="G41" s="10"/>
      <c r="H41" s="10"/>
      <c r="I41" s="10">
        <f t="shared" si="0"/>
        <v>1</v>
      </c>
    </row>
    <row r="42" spans="1:9">
      <c r="A42" s="11" t="s">
        <v>100</v>
      </c>
      <c r="B42" s="9" t="s">
        <v>101</v>
      </c>
      <c r="C42" s="10">
        <v>1</v>
      </c>
      <c r="D42" s="10"/>
      <c r="E42" s="10"/>
      <c r="F42" s="10"/>
      <c r="G42" s="10"/>
      <c r="H42" s="10"/>
      <c r="I42" s="10">
        <f t="shared" si="0"/>
        <v>1</v>
      </c>
    </row>
    <row r="43" spans="1:9">
      <c r="A43" s="11" t="s">
        <v>423</v>
      </c>
      <c r="B43" s="9" t="s">
        <v>424</v>
      </c>
      <c r="C43" s="10">
        <v>1</v>
      </c>
      <c r="D43" s="10"/>
      <c r="E43" s="10"/>
      <c r="F43" s="10"/>
      <c r="G43" s="10"/>
      <c r="H43" s="10"/>
      <c r="I43" s="10">
        <f t="shared" si="0"/>
        <v>1</v>
      </c>
    </row>
    <row r="44" spans="1:9">
      <c r="A44" s="11" t="s">
        <v>102</v>
      </c>
      <c r="B44" s="9" t="s">
        <v>103</v>
      </c>
      <c r="C44" s="10">
        <v>1</v>
      </c>
      <c r="D44" s="10"/>
      <c r="E44" s="10"/>
      <c r="F44" s="10"/>
      <c r="G44" s="10"/>
      <c r="H44" s="10"/>
      <c r="I44" s="10">
        <f t="shared" si="0"/>
        <v>1</v>
      </c>
    </row>
    <row r="45" spans="1:9">
      <c r="A45" s="11" t="s">
        <v>425</v>
      </c>
      <c r="B45" s="9" t="s">
        <v>426</v>
      </c>
      <c r="C45" s="10">
        <v>1</v>
      </c>
      <c r="D45" s="10"/>
      <c r="E45" s="10"/>
      <c r="F45" s="10"/>
      <c r="G45" s="10"/>
      <c r="H45" s="10"/>
      <c r="I45" s="10">
        <f t="shared" si="0"/>
        <v>1</v>
      </c>
    </row>
    <row r="46" spans="1:9">
      <c r="A46" s="11" t="s">
        <v>427</v>
      </c>
      <c r="B46" s="9" t="s">
        <v>428</v>
      </c>
      <c r="C46" s="10">
        <v>1</v>
      </c>
      <c r="D46" s="10">
        <v>1</v>
      </c>
      <c r="E46" s="10"/>
      <c r="F46" s="10"/>
      <c r="G46" s="10"/>
      <c r="H46" s="10"/>
      <c r="I46" s="10">
        <f t="shared" si="0"/>
        <v>2</v>
      </c>
    </row>
    <row r="47" spans="1:9">
      <c r="A47" s="11" t="s">
        <v>104</v>
      </c>
      <c r="B47" s="9" t="s">
        <v>105</v>
      </c>
      <c r="C47" s="10">
        <v>1</v>
      </c>
      <c r="D47" s="10"/>
      <c r="E47" s="10"/>
      <c r="F47" s="10"/>
      <c r="G47" s="10"/>
      <c r="H47" s="10"/>
      <c r="I47" s="10">
        <f t="shared" si="0"/>
        <v>1</v>
      </c>
    </row>
    <row r="48" spans="1:9">
      <c r="A48" s="11" t="s">
        <v>429</v>
      </c>
      <c r="B48" s="9" t="s">
        <v>430</v>
      </c>
      <c r="C48" s="12">
        <v>0</v>
      </c>
      <c r="D48" s="10"/>
      <c r="E48" s="10"/>
      <c r="F48" s="10"/>
      <c r="G48" s="10"/>
      <c r="H48" s="10"/>
      <c r="I48" s="10">
        <f t="shared" si="0"/>
        <v>0</v>
      </c>
    </row>
    <row r="49" spans="1:9">
      <c r="A49" s="11" t="s">
        <v>106</v>
      </c>
      <c r="B49" s="9" t="s">
        <v>107</v>
      </c>
      <c r="C49" s="10">
        <v>1</v>
      </c>
      <c r="D49" s="10"/>
      <c r="E49" s="10"/>
      <c r="F49" s="10"/>
      <c r="G49" s="10"/>
      <c r="H49" s="10"/>
      <c r="I49" s="10">
        <f t="shared" si="0"/>
        <v>1</v>
      </c>
    </row>
    <row r="50" spans="1:9">
      <c r="A50" s="11" t="s">
        <v>220</v>
      </c>
      <c r="B50" s="9" t="s">
        <v>221</v>
      </c>
      <c r="C50" s="10">
        <v>1</v>
      </c>
      <c r="D50" s="10"/>
      <c r="E50" s="10"/>
      <c r="F50" s="10"/>
      <c r="G50" s="10"/>
      <c r="H50" s="10"/>
      <c r="I50" s="10">
        <f t="shared" si="0"/>
        <v>1</v>
      </c>
    </row>
    <row r="51" spans="1:9">
      <c r="A51" s="11" t="s">
        <v>108</v>
      </c>
      <c r="B51" s="9" t="s">
        <v>109</v>
      </c>
      <c r="C51" s="10">
        <v>1</v>
      </c>
      <c r="D51" s="10"/>
      <c r="E51" s="10"/>
      <c r="F51" s="10"/>
      <c r="G51" s="10"/>
      <c r="H51" s="10"/>
      <c r="I51" s="10">
        <f t="shared" si="0"/>
        <v>1</v>
      </c>
    </row>
    <row r="52" spans="1:9">
      <c r="A52" s="11" t="s">
        <v>222</v>
      </c>
      <c r="B52" s="9" t="s">
        <v>223</v>
      </c>
      <c r="C52" s="10">
        <v>1</v>
      </c>
      <c r="D52" s="10"/>
      <c r="E52" s="10"/>
      <c r="F52" s="10"/>
      <c r="G52" s="10"/>
      <c r="H52" s="10"/>
      <c r="I52" s="10">
        <f t="shared" si="0"/>
        <v>1</v>
      </c>
    </row>
    <row r="53" spans="1:9">
      <c r="A53" s="11" t="s">
        <v>566</v>
      </c>
      <c r="B53" s="9" t="s">
        <v>567</v>
      </c>
      <c r="C53" s="10">
        <v>1</v>
      </c>
      <c r="D53" s="10"/>
      <c r="E53" s="10"/>
      <c r="F53" s="10"/>
      <c r="G53" s="10"/>
      <c r="H53" s="10"/>
      <c r="I53" s="10">
        <f t="shared" si="0"/>
        <v>1</v>
      </c>
    </row>
    <row r="54" spans="1:9">
      <c r="A54" s="11" t="s">
        <v>568</v>
      </c>
      <c r="B54" s="9" t="s">
        <v>569</v>
      </c>
      <c r="C54" s="10">
        <v>1</v>
      </c>
      <c r="D54" s="10">
        <v>1</v>
      </c>
      <c r="E54" s="10"/>
      <c r="F54" s="10"/>
      <c r="G54" s="10"/>
      <c r="H54" s="10"/>
      <c r="I54" s="10">
        <f t="shared" si="0"/>
        <v>2</v>
      </c>
    </row>
    <row r="55" spans="1:9">
      <c r="A55" s="11" t="s">
        <v>224</v>
      </c>
      <c r="B55" s="9" t="s">
        <v>225</v>
      </c>
      <c r="C55" s="10">
        <v>1</v>
      </c>
      <c r="D55" s="10">
        <v>1</v>
      </c>
      <c r="E55" s="10"/>
      <c r="F55" s="10"/>
      <c r="G55" s="10"/>
      <c r="H55" s="10"/>
      <c r="I55" s="10">
        <f t="shared" si="0"/>
        <v>2</v>
      </c>
    </row>
    <row r="56" spans="1:9">
      <c r="A56" s="11" t="s">
        <v>570</v>
      </c>
      <c r="B56" s="9" t="s">
        <v>571</v>
      </c>
      <c r="C56" s="12">
        <v>0</v>
      </c>
      <c r="D56" s="10"/>
      <c r="E56" s="10"/>
      <c r="F56" s="10"/>
      <c r="G56" s="10"/>
      <c r="H56" s="10"/>
      <c r="I56" s="10">
        <f t="shared" si="0"/>
        <v>0</v>
      </c>
    </row>
    <row r="57" spans="1:9">
      <c r="A57" s="11" t="s">
        <v>572</v>
      </c>
      <c r="B57" s="9" t="s">
        <v>573</v>
      </c>
      <c r="C57" s="10">
        <v>1</v>
      </c>
      <c r="D57" s="10">
        <v>1</v>
      </c>
      <c r="E57" s="10"/>
      <c r="F57" s="10"/>
      <c r="G57" s="10"/>
      <c r="H57" s="10"/>
      <c r="I57" s="10">
        <f t="shared" si="0"/>
        <v>2</v>
      </c>
    </row>
    <row r="58" spans="1:9">
      <c r="A58" s="11" t="s">
        <v>226</v>
      </c>
      <c r="B58" s="9" t="s">
        <v>227</v>
      </c>
      <c r="C58" s="10">
        <v>1</v>
      </c>
      <c r="D58" s="10"/>
      <c r="E58" s="10"/>
      <c r="F58" s="10"/>
      <c r="G58" s="10"/>
      <c r="H58" s="10"/>
      <c r="I58" s="10">
        <f t="shared" si="0"/>
        <v>1</v>
      </c>
    </row>
    <row r="59" spans="1:9">
      <c r="A59" s="11" t="s">
        <v>574</v>
      </c>
      <c r="B59" s="9" t="s">
        <v>575</v>
      </c>
      <c r="C59" s="10">
        <v>1</v>
      </c>
      <c r="D59" s="10">
        <v>1</v>
      </c>
      <c r="E59" s="10"/>
      <c r="F59" s="10"/>
      <c r="G59" s="10"/>
      <c r="H59" s="10"/>
      <c r="I59" s="10">
        <f t="shared" si="0"/>
        <v>2</v>
      </c>
    </row>
    <row r="60" spans="1:9">
      <c r="A60" s="11" t="s">
        <v>228</v>
      </c>
      <c r="B60" s="9" t="s">
        <v>229</v>
      </c>
      <c r="C60" s="12">
        <v>0.5</v>
      </c>
      <c r="D60" s="10"/>
      <c r="E60" s="10"/>
      <c r="F60" s="10"/>
      <c r="G60" s="10"/>
      <c r="H60" s="10"/>
      <c r="I60" s="10">
        <f t="shared" si="0"/>
        <v>0.5</v>
      </c>
    </row>
    <row r="61" spans="1:9">
      <c r="A61" s="11" t="s">
        <v>666</v>
      </c>
      <c r="B61" s="9" t="s">
        <v>667</v>
      </c>
      <c r="C61" s="10">
        <v>1</v>
      </c>
      <c r="D61" s="10"/>
      <c r="E61" s="10"/>
      <c r="F61" s="10"/>
      <c r="G61" s="10"/>
      <c r="H61" s="10"/>
      <c r="I61" s="10">
        <f t="shared" si="0"/>
        <v>1</v>
      </c>
    </row>
    <row r="62" spans="1:9">
      <c r="A62" s="11" t="s">
        <v>230</v>
      </c>
      <c r="B62" s="9" t="s">
        <v>231</v>
      </c>
      <c r="C62" s="10">
        <v>1</v>
      </c>
      <c r="D62" s="10"/>
      <c r="E62" s="10"/>
      <c r="F62" s="10"/>
      <c r="G62" s="10"/>
      <c r="H62" s="10"/>
      <c r="I62" s="10">
        <f t="shared" si="0"/>
        <v>1</v>
      </c>
    </row>
    <row r="63" spans="1:9">
      <c r="A63" s="11" t="s">
        <v>621</v>
      </c>
      <c r="B63" s="9" t="s">
        <v>622</v>
      </c>
      <c r="C63" s="10">
        <v>1</v>
      </c>
      <c r="D63" s="10"/>
      <c r="E63" s="10"/>
      <c r="F63" s="10"/>
      <c r="G63" s="10"/>
      <c r="H63" s="10"/>
      <c r="I63" s="10">
        <f t="shared" si="0"/>
        <v>1</v>
      </c>
    </row>
    <row r="64" spans="1:9">
      <c r="A64" s="11" t="s">
        <v>232</v>
      </c>
      <c r="B64" s="9" t="s">
        <v>127</v>
      </c>
      <c r="C64" s="10">
        <v>1</v>
      </c>
      <c r="D64" s="10"/>
      <c r="E64" s="10"/>
      <c r="F64" s="10"/>
      <c r="G64" s="10"/>
      <c r="H64" s="10"/>
      <c r="I64" s="10">
        <f t="shared" si="0"/>
        <v>1</v>
      </c>
    </row>
    <row r="65" spans="1:9">
      <c r="A65" s="11" t="s">
        <v>623</v>
      </c>
      <c r="B65" s="9" t="s">
        <v>624</v>
      </c>
      <c r="C65" s="10">
        <v>1</v>
      </c>
      <c r="D65" s="10"/>
      <c r="E65" s="10"/>
      <c r="F65" s="10"/>
      <c r="G65" s="10"/>
      <c r="H65" s="10"/>
      <c r="I65" s="10">
        <f t="shared" si="0"/>
        <v>1</v>
      </c>
    </row>
    <row r="66" spans="1:9">
      <c r="A66" s="11" t="s">
        <v>128</v>
      </c>
      <c r="B66" s="9" t="s">
        <v>129</v>
      </c>
      <c r="C66" s="10">
        <v>1</v>
      </c>
      <c r="D66" s="10">
        <v>1</v>
      </c>
      <c r="E66" s="10"/>
      <c r="F66" s="10">
        <v>1</v>
      </c>
      <c r="G66" s="10"/>
      <c r="H66" s="10"/>
      <c r="I66" s="10">
        <f t="shared" si="0"/>
        <v>3</v>
      </c>
    </row>
    <row r="67" spans="1:9">
      <c r="A67" s="11" t="s">
        <v>625</v>
      </c>
      <c r="B67" s="9" t="s">
        <v>626</v>
      </c>
      <c r="C67" s="12">
        <v>0</v>
      </c>
      <c r="D67" s="10"/>
      <c r="E67" s="10"/>
      <c r="F67" s="10"/>
      <c r="G67" s="10"/>
      <c r="H67" s="10"/>
      <c r="I67" s="10">
        <f t="shared" si="0"/>
        <v>0</v>
      </c>
    </row>
    <row r="68" spans="1:9">
      <c r="A68" s="11" t="s">
        <v>611</v>
      </c>
      <c r="B68" s="9" t="s">
        <v>612</v>
      </c>
      <c r="C68" s="10">
        <v>1</v>
      </c>
      <c r="D68" s="10"/>
      <c r="E68" s="10"/>
      <c r="F68" s="10"/>
      <c r="G68" s="10"/>
      <c r="H68" s="10"/>
      <c r="I68" s="10">
        <f t="shared" ref="I68:I99" si="1">SUM(C68:H68)</f>
        <v>1</v>
      </c>
    </row>
    <row r="69" spans="1:9">
      <c r="A69" s="11" t="s">
        <v>627</v>
      </c>
      <c r="B69" s="9" t="s">
        <v>628</v>
      </c>
      <c r="C69" s="10">
        <v>1</v>
      </c>
      <c r="D69" s="10">
        <v>1</v>
      </c>
      <c r="E69" s="10"/>
      <c r="F69" s="10"/>
      <c r="G69" s="10"/>
      <c r="H69" s="10"/>
      <c r="I69" s="10">
        <f t="shared" si="1"/>
        <v>2</v>
      </c>
    </row>
    <row r="70" spans="1:9">
      <c r="A70" s="11" t="s">
        <v>613</v>
      </c>
      <c r="B70" s="9" t="s">
        <v>614</v>
      </c>
      <c r="C70" s="10">
        <v>1</v>
      </c>
      <c r="D70" s="10">
        <v>1</v>
      </c>
      <c r="E70" s="10"/>
      <c r="F70" s="10"/>
      <c r="G70" s="10"/>
      <c r="H70" s="10"/>
      <c r="I70" s="10">
        <f t="shared" si="1"/>
        <v>2</v>
      </c>
    </row>
    <row r="71" spans="1:9">
      <c r="A71" s="11" t="s">
        <v>629</v>
      </c>
      <c r="B71" s="34" t="s">
        <v>1128</v>
      </c>
      <c r="C71" s="10">
        <v>1</v>
      </c>
      <c r="D71" s="10"/>
      <c r="E71" s="10"/>
      <c r="F71" s="10"/>
      <c r="G71" s="10"/>
      <c r="H71" s="10"/>
      <c r="I71" s="10">
        <f t="shared" si="1"/>
        <v>1</v>
      </c>
    </row>
    <row r="72" spans="1:9">
      <c r="A72" s="11" t="s">
        <v>615</v>
      </c>
      <c r="B72" s="9" t="s">
        <v>616</v>
      </c>
      <c r="C72" s="10">
        <v>1</v>
      </c>
      <c r="D72" s="10">
        <v>1</v>
      </c>
      <c r="E72" s="10"/>
      <c r="F72" s="10"/>
      <c r="G72" s="10"/>
      <c r="H72" s="10"/>
      <c r="I72" s="10">
        <f t="shared" si="1"/>
        <v>2</v>
      </c>
    </row>
    <row r="73" spans="1:9">
      <c r="A73" s="11" t="s">
        <v>630</v>
      </c>
      <c r="B73" s="9" t="s">
        <v>631</v>
      </c>
      <c r="C73" s="10">
        <v>1</v>
      </c>
      <c r="D73" s="10"/>
      <c r="E73" s="10"/>
      <c r="F73" s="10"/>
      <c r="G73" s="10"/>
      <c r="H73" s="10"/>
      <c r="I73" s="10">
        <f t="shared" si="1"/>
        <v>1</v>
      </c>
    </row>
    <row r="74" spans="1:9">
      <c r="A74" s="11" t="s">
        <v>617</v>
      </c>
      <c r="B74" s="9" t="s">
        <v>618</v>
      </c>
      <c r="C74" s="10">
        <v>1</v>
      </c>
      <c r="D74" s="10"/>
      <c r="E74" s="10"/>
      <c r="F74" s="10"/>
      <c r="G74" s="10"/>
      <c r="H74" s="10"/>
      <c r="I74" s="10">
        <f t="shared" si="1"/>
        <v>1</v>
      </c>
    </row>
    <row r="75" spans="1:9">
      <c r="A75" s="11" t="s">
        <v>632</v>
      </c>
      <c r="B75" s="9" t="s">
        <v>633</v>
      </c>
      <c r="C75" s="10">
        <v>1</v>
      </c>
      <c r="D75" s="10"/>
      <c r="E75" s="10" t="s">
        <v>914</v>
      </c>
      <c r="F75" s="10">
        <v>1</v>
      </c>
      <c r="G75" s="10"/>
      <c r="H75" s="10"/>
      <c r="I75" s="10">
        <f t="shared" si="1"/>
        <v>2</v>
      </c>
    </row>
    <row r="76" spans="1:9">
      <c r="A76" s="11" t="s">
        <v>619</v>
      </c>
      <c r="B76" s="9" t="s">
        <v>620</v>
      </c>
      <c r="C76" s="10">
        <v>1</v>
      </c>
      <c r="D76" s="10"/>
      <c r="E76" s="10"/>
      <c r="F76" s="10"/>
      <c r="G76" s="10"/>
      <c r="H76" s="10"/>
      <c r="I76" s="10">
        <f t="shared" si="1"/>
        <v>1</v>
      </c>
    </row>
    <row r="77" spans="1:9">
      <c r="A77" s="11" t="s">
        <v>173</v>
      </c>
      <c r="B77" s="9" t="s">
        <v>174</v>
      </c>
      <c r="C77" s="10">
        <v>1</v>
      </c>
      <c r="D77" s="10"/>
      <c r="E77" s="10"/>
      <c r="F77" s="10"/>
      <c r="G77" s="10"/>
      <c r="H77" s="10"/>
      <c r="I77" s="10">
        <f t="shared" si="1"/>
        <v>1</v>
      </c>
    </row>
    <row r="78" spans="1:9">
      <c r="A78" s="11" t="s">
        <v>634</v>
      </c>
      <c r="B78" s="9" t="s">
        <v>635</v>
      </c>
      <c r="C78" s="10">
        <v>0.5</v>
      </c>
      <c r="D78" s="10"/>
      <c r="E78" s="10"/>
      <c r="F78" s="10"/>
      <c r="G78" s="10"/>
      <c r="H78" s="10"/>
      <c r="I78" s="10">
        <f t="shared" si="1"/>
        <v>0.5</v>
      </c>
    </row>
    <row r="79" spans="1:9">
      <c r="A79" s="11" t="s">
        <v>175</v>
      </c>
      <c r="B79" s="9" t="s">
        <v>176</v>
      </c>
      <c r="C79" s="10">
        <v>1</v>
      </c>
      <c r="D79" s="10"/>
      <c r="E79" s="10"/>
      <c r="F79" s="10"/>
      <c r="G79" s="10"/>
      <c r="H79" s="10"/>
      <c r="I79" s="10">
        <f t="shared" si="1"/>
        <v>1</v>
      </c>
    </row>
    <row r="80" spans="1:9">
      <c r="A80" s="11" t="s">
        <v>636</v>
      </c>
      <c r="B80" s="9" t="s">
        <v>637</v>
      </c>
      <c r="C80" s="10">
        <v>1</v>
      </c>
      <c r="D80" s="10">
        <v>1</v>
      </c>
      <c r="E80" s="10"/>
      <c r="F80" s="10"/>
      <c r="G80" s="10"/>
      <c r="H80" s="10"/>
      <c r="I80" s="10">
        <f t="shared" si="1"/>
        <v>2</v>
      </c>
    </row>
    <row r="81" spans="1:9">
      <c r="A81" s="11" t="s">
        <v>177</v>
      </c>
      <c r="B81" s="9" t="s">
        <v>178</v>
      </c>
      <c r="C81" s="10">
        <v>1</v>
      </c>
      <c r="D81" s="10"/>
      <c r="E81" s="10"/>
      <c r="F81" s="10"/>
      <c r="G81" s="10"/>
      <c r="H81" s="10"/>
      <c r="I81" s="10">
        <f t="shared" si="1"/>
        <v>1</v>
      </c>
    </row>
    <row r="82" spans="1:9">
      <c r="A82" s="11" t="s">
        <v>638</v>
      </c>
      <c r="B82" s="9" t="s">
        <v>639</v>
      </c>
      <c r="C82" s="10">
        <v>1</v>
      </c>
      <c r="D82" s="10"/>
      <c r="E82" s="10"/>
      <c r="F82" s="10"/>
      <c r="G82" s="10"/>
      <c r="H82" s="10"/>
      <c r="I82" s="10">
        <f t="shared" si="1"/>
        <v>1</v>
      </c>
    </row>
    <row r="83" spans="1:9">
      <c r="A83" s="11" t="s">
        <v>353</v>
      </c>
      <c r="B83" s="9" t="s">
        <v>354</v>
      </c>
      <c r="C83" s="10">
        <v>1</v>
      </c>
      <c r="D83" s="10"/>
      <c r="E83" s="10"/>
      <c r="F83" s="10"/>
      <c r="G83" s="10"/>
      <c r="H83" s="10"/>
      <c r="I83" s="10">
        <f t="shared" si="1"/>
        <v>1</v>
      </c>
    </row>
    <row r="84" spans="1:9">
      <c r="A84" s="11" t="s">
        <v>640</v>
      </c>
      <c r="B84" s="9" t="s">
        <v>641</v>
      </c>
      <c r="C84" s="10">
        <v>1</v>
      </c>
      <c r="D84" s="10"/>
      <c r="E84" s="10"/>
      <c r="F84" s="10"/>
      <c r="G84" s="10"/>
      <c r="H84" s="10"/>
      <c r="I84" s="10">
        <f t="shared" si="1"/>
        <v>1</v>
      </c>
    </row>
    <row r="85" spans="1:9">
      <c r="A85" s="11" t="s">
        <v>355</v>
      </c>
      <c r="B85" s="9" t="s">
        <v>356</v>
      </c>
      <c r="C85" s="10">
        <v>1</v>
      </c>
      <c r="D85" s="10"/>
      <c r="E85" s="10"/>
      <c r="F85" s="10"/>
      <c r="G85" s="10"/>
      <c r="H85" s="10"/>
      <c r="I85" s="10">
        <f t="shared" si="1"/>
        <v>1</v>
      </c>
    </row>
    <row r="86" spans="1:9">
      <c r="A86" s="11" t="s">
        <v>483</v>
      </c>
      <c r="B86" s="9" t="s">
        <v>484</v>
      </c>
      <c r="C86" s="10">
        <v>1</v>
      </c>
      <c r="D86" s="10"/>
      <c r="E86" s="10"/>
      <c r="F86" s="10"/>
      <c r="G86" s="10"/>
      <c r="H86" s="10"/>
      <c r="I86" s="10">
        <f t="shared" si="1"/>
        <v>1</v>
      </c>
    </row>
    <row r="87" spans="1:9">
      <c r="A87" s="11" t="s">
        <v>642</v>
      </c>
      <c r="B87" s="9" t="s">
        <v>643</v>
      </c>
      <c r="C87" s="10">
        <v>1</v>
      </c>
      <c r="D87" s="10"/>
      <c r="E87" s="10"/>
      <c r="F87" s="10"/>
      <c r="G87" s="10"/>
      <c r="H87" s="10"/>
      <c r="I87" s="10">
        <f t="shared" si="1"/>
        <v>1</v>
      </c>
    </row>
    <row r="88" spans="1:9">
      <c r="A88" s="11" t="s">
        <v>644</v>
      </c>
      <c r="B88" s="9" t="s">
        <v>645</v>
      </c>
      <c r="C88" s="10">
        <v>1</v>
      </c>
      <c r="D88" s="10">
        <v>1</v>
      </c>
      <c r="E88" s="10"/>
      <c r="F88" s="10"/>
      <c r="G88" s="10"/>
      <c r="H88" s="10"/>
      <c r="I88" s="10">
        <f t="shared" si="1"/>
        <v>2</v>
      </c>
    </row>
    <row r="89" spans="1:9">
      <c r="A89" s="11" t="s">
        <v>485</v>
      </c>
      <c r="B89" s="9" t="s">
        <v>486</v>
      </c>
      <c r="C89" s="10">
        <v>1</v>
      </c>
      <c r="D89" s="10"/>
      <c r="E89" s="10"/>
      <c r="F89" s="10"/>
      <c r="G89" s="10"/>
      <c r="H89" s="10"/>
      <c r="I89" s="10">
        <f t="shared" si="1"/>
        <v>1</v>
      </c>
    </row>
    <row r="90" spans="1:9">
      <c r="A90" s="11" t="s">
        <v>487</v>
      </c>
      <c r="B90" s="9" t="s">
        <v>488</v>
      </c>
      <c r="C90" s="10">
        <v>1</v>
      </c>
      <c r="D90" s="10"/>
      <c r="E90" s="10"/>
      <c r="F90" s="10"/>
      <c r="G90" s="10"/>
      <c r="H90" s="10"/>
      <c r="I90" s="10">
        <f t="shared" si="1"/>
        <v>1</v>
      </c>
    </row>
    <row r="91" spans="1:9">
      <c r="A91" s="11" t="s">
        <v>297</v>
      </c>
      <c r="B91" s="9" t="s">
        <v>298</v>
      </c>
      <c r="C91" s="10">
        <v>1</v>
      </c>
      <c r="D91" s="10"/>
      <c r="E91" s="10"/>
      <c r="F91" s="10"/>
      <c r="G91" s="10"/>
      <c r="H91" s="10"/>
      <c r="I91" s="10">
        <f t="shared" si="1"/>
        <v>1</v>
      </c>
    </row>
    <row r="92" spans="1:9">
      <c r="A92" s="11" t="s">
        <v>299</v>
      </c>
      <c r="B92" s="9" t="s">
        <v>300</v>
      </c>
      <c r="C92" s="10">
        <v>0</v>
      </c>
      <c r="D92" s="10"/>
      <c r="E92" s="10"/>
      <c r="F92" s="10"/>
      <c r="G92" s="10"/>
      <c r="H92" s="10"/>
      <c r="I92" s="10">
        <f t="shared" si="1"/>
        <v>0</v>
      </c>
    </row>
    <row r="93" spans="1:9">
      <c r="A93" s="11" t="s">
        <v>121</v>
      </c>
      <c r="B93" s="9" t="s">
        <v>122</v>
      </c>
      <c r="C93" s="10">
        <v>1</v>
      </c>
      <c r="D93" s="10"/>
      <c r="E93" s="10"/>
      <c r="F93" s="10"/>
      <c r="G93" s="10"/>
      <c r="H93" s="10"/>
      <c r="I93" s="10">
        <f t="shared" si="1"/>
        <v>1</v>
      </c>
    </row>
    <row r="94" spans="1:9">
      <c r="A94" s="11" t="s">
        <v>38</v>
      </c>
      <c r="B94" s="9" t="s">
        <v>39</v>
      </c>
      <c r="C94" s="10">
        <v>1</v>
      </c>
      <c r="D94" s="10"/>
      <c r="E94" s="10"/>
      <c r="F94" s="10"/>
      <c r="G94" s="10"/>
      <c r="H94" s="10"/>
      <c r="I94" s="10">
        <f t="shared" si="1"/>
        <v>1</v>
      </c>
    </row>
    <row r="95" spans="1:9">
      <c r="A95" s="11" t="s">
        <v>40</v>
      </c>
      <c r="B95" s="9" t="s">
        <v>41</v>
      </c>
      <c r="C95" s="10">
        <v>1</v>
      </c>
      <c r="D95" s="10"/>
      <c r="E95" s="10"/>
      <c r="F95" s="10"/>
      <c r="G95" s="10"/>
      <c r="H95" s="10"/>
      <c r="I95" s="10">
        <f t="shared" si="1"/>
        <v>1</v>
      </c>
    </row>
    <row r="96" spans="1:9">
      <c r="A96" s="11" t="s">
        <v>387</v>
      </c>
      <c r="B96" s="9" t="s">
        <v>388</v>
      </c>
      <c r="C96" s="10">
        <v>1</v>
      </c>
      <c r="D96" s="10"/>
      <c r="E96" s="10"/>
      <c r="F96" s="10"/>
      <c r="G96" s="10"/>
      <c r="H96" s="10"/>
      <c r="I96" s="10">
        <f t="shared" si="1"/>
        <v>1</v>
      </c>
    </row>
    <row r="97" spans="1:9">
      <c r="A97" s="11" t="s">
        <v>389</v>
      </c>
      <c r="B97" s="9" t="s">
        <v>390</v>
      </c>
      <c r="C97" s="10">
        <v>1</v>
      </c>
      <c r="D97" s="10"/>
      <c r="E97" s="10"/>
      <c r="F97" s="10"/>
      <c r="G97" s="10"/>
      <c r="H97" s="10"/>
      <c r="I97" s="10">
        <f t="shared" si="1"/>
        <v>1</v>
      </c>
    </row>
    <row r="98" spans="1:9">
      <c r="A98" s="11" t="s">
        <v>42</v>
      </c>
      <c r="B98" s="9" t="s">
        <v>43</v>
      </c>
      <c r="C98" s="10">
        <v>1</v>
      </c>
      <c r="D98" s="10"/>
      <c r="E98" s="10"/>
      <c r="F98" s="10"/>
      <c r="G98" s="10"/>
      <c r="H98" s="10"/>
      <c r="I98" s="10">
        <f t="shared" si="1"/>
        <v>1</v>
      </c>
    </row>
    <row r="99" spans="1:9">
      <c r="A99" s="11" t="s">
        <v>391</v>
      </c>
      <c r="B99" s="9" t="s">
        <v>392</v>
      </c>
      <c r="C99" s="10">
        <v>1</v>
      </c>
      <c r="D99" s="10"/>
      <c r="E99" s="10"/>
      <c r="F99" s="10"/>
      <c r="G99" s="10"/>
      <c r="H99" s="10"/>
      <c r="I99" s="10">
        <f t="shared" si="1"/>
        <v>1</v>
      </c>
    </row>
    <row r="100" spans="1:9">
      <c r="C100" s="6"/>
      <c r="D100" s="6"/>
      <c r="E100" s="6"/>
      <c r="F100" s="6"/>
      <c r="G100" s="6"/>
      <c r="H100" s="6"/>
      <c r="I100" s="6"/>
    </row>
    <row r="101" spans="1:9">
      <c r="A101" s="32" t="s">
        <v>907</v>
      </c>
      <c r="B101"/>
      <c r="C101"/>
      <c r="D101"/>
      <c r="E101"/>
      <c r="F101"/>
      <c r="G101"/>
      <c r="H101" t="s">
        <v>909</v>
      </c>
      <c r="I101">
        <f>MEDIAN(I10:I99)</f>
        <v>1</v>
      </c>
    </row>
    <row r="102" spans="1:9">
      <c r="A102" s="3" t="s">
        <v>145</v>
      </c>
    </row>
    <row r="103" spans="1:9" s="2" customFormat="1">
      <c r="A103" s="2" t="s">
        <v>701</v>
      </c>
    </row>
    <row r="104" spans="1:9">
      <c r="A104" s="2" t="s">
        <v>911</v>
      </c>
      <c r="C104" s="6"/>
      <c r="D104" s="6"/>
      <c r="E104" s="6"/>
      <c r="F104" s="6"/>
      <c r="G104" s="6"/>
      <c r="H104" s="6"/>
    </row>
    <row r="105" spans="1:9">
      <c r="A105" s="2" t="s">
        <v>915</v>
      </c>
    </row>
    <row r="106" spans="1:9" s="2" customFormat="1">
      <c r="A106" s="2" t="s">
        <v>1126</v>
      </c>
    </row>
    <row r="107" spans="1:9" s="2" customFormat="1">
      <c r="A107" s="2" t="s">
        <v>1127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6" sqref="B6"/>
    </sheetView>
  </sheetViews>
  <sheetFormatPr defaultRowHeight="16.2"/>
  <cols>
    <col min="1" max="1" width="10.33203125" style="2" customWidth="1"/>
    <col min="2" max="2" width="9" style="2"/>
    <col min="3" max="3" width="10.44140625" style="2" bestFit="1" customWidth="1"/>
    <col min="4" max="9" width="9" style="2"/>
  </cols>
  <sheetData>
    <row r="1" spans="1:9">
      <c r="A1" s="29" t="s">
        <v>699</v>
      </c>
      <c r="B1" s="8"/>
      <c r="C1" s="8">
        <f>MAX(I3:I67)</f>
        <v>2</v>
      </c>
    </row>
    <row r="2" spans="1:9">
      <c r="A2" s="22" t="s">
        <v>646</v>
      </c>
      <c r="B2" s="22" t="s">
        <v>144</v>
      </c>
      <c r="C2" s="21" t="s">
        <v>148</v>
      </c>
      <c r="D2" s="21" t="s">
        <v>702</v>
      </c>
      <c r="E2" s="23"/>
      <c r="F2" s="23"/>
      <c r="G2" s="23"/>
      <c r="H2" s="23"/>
      <c r="I2" s="24" t="s">
        <v>143</v>
      </c>
    </row>
    <row r="3" spans="1:9">
      <c r="A3" s="11" t="s">
        <v>301</v>
      </c>
      <c r="B3" s="9" t="s">
        <v>302</v>
      </c>
      <c r="C3" s="10">
        <v>0</v>
      </c>
      <c r="D3" s="10"/>
      <c r="E3" s="10"/>
      <c r="F3" s="10"/>
      <c r="G3" s="10"/>
      <c r="H3" s="10"/>
      <c r="I3" s="10">
        <f t="shared" ref="I3:I66" si="0">SUM(C3:H3)</f>
        <v>0</v>
      </c>
    </row>
    <row r="4" spans="1:9">
      <c r="A4" s="11" t="s">
        <v>489</v>
      </c>
      <c r="B4" s="9" t="s">
        <v>490</v>
      </c>
      <c r="C4" s="10">
        <v>0</v>
      </c>
      <c r="D4" s="10"/>
      <c r="E4" s="10"/>
      <c r="F4" s="10"/>
      <c r="G4" s="10"/>
      <c r="H4" s="10"/>
      <c r="I4" s="10">
        <f t="shared" si="0"/>
        <v>0</v>
      </c>
    </row>
    <row r="5" spans="1:9">
      <c r="A5" s="11" t="s">
        <v>491</v>
      </c>
      <c r="B5" s="9" t="s">
        <v>492</v>
      </c>
      <c r="C5" s="10">
        <v>0</v>
      </c>
      <c r="D5" s="10"/>
      <c r="E5" s="10"/>
      <c r="F5" s="10"/>
      <c r="G5" s="10"/>
      <c r="H5" s="10"/>
      <c r="I5" s="10">
        <f t="shared" si="0"/>
        <v>0</v>
      </c>
    </row>
    <row r="6" spans="1:9">
      <c r="A6" s="11" t="s">
        <v>515</v>
      </c>
      <c r="B6" s="9" t="s">
        <v>516</v>
      </c>
      <c r="C6" s="10">
        <v>1</v>
      </c>
      <c r="D6" s="10"/>
      <c r="E6" s="10"/>
      <c r="F6" s="10"/>
      <c r="G6" s="10"/>
      <c r="H6" s="10"/>
      <c r="I6" s="10">
        <f t="shared" si="0"/>
        <v>1</v>
      </c>
    </row>
    <row r="7" spans="1:9">
      <c r="A7" s="11" t="s">
        <v>517</v>
      </c>
      <c r="B7" s="9" t="s">
        <v>518</v>
      </c>
      <c r="C7" s="10">
        <v>0.5</v>
      </c>
      <c r="D7" s="10"/>
      <c r="E7" s="10"/>
      <c r="F7" s="10"/>
      <c r="G7" s="10"/>
      <c r="H7" s="10"/>
      <c r="I7" s="10">
        <f t="shared" si="0"/>
        <v>0.5</v>
      </c>
    </row>
    <row r="8" spans="1:9">
      <c r="A8" s="11" t="s">
        <v>493</v>
      </c>
      <c r="B8" s="9" t="s">
        <v>494</v>
      </c>
      <c r="C8" s="10">
        <v>1</v>
      </c>
      <c r="D8" s="10"/>
      <c r="E8" s="10"/>
      <c r="F8" s="10"/>
      <c r="G8" s="10"/>
      <c r="H8" s="10"/>
      <c r="I8" s="10">
        <f t="shared" si="0"/>
        <v>1</v>
      </c>
    </row>
    <row r="9" spans="1:9">
      <c r="A9" s="11" t="s">
        <v>519</v>
      </c>
      <c r="B9" s="9" t="s">
        <v>520</v>
      </c>
      <c r="C9" s="10">
        <v>1</v>
      </c>
      <c r="D9" s="10"/>
      <c r="E9" s="10"/>
      <c r="F9" s="10"/>
      <c r="G9" s="10"/>
      <c r="H9" s="10"/>
      <c r="I9" s="10">
        <f t="shared" si="0"/>
        <v>1</v>
      </c>
    </row>
    <row r="10" spans="1:9">
      <c r="A10" s="11" t="s">
        <v>495</v>
      </c>
      <c r="B10" s="9" t="s">
        <v>496</v>
      </c>
      <c r="C10" s="10">
        <v>0</v>
      </c>
      <c r="D10" s="10"/>
      <c r="E10" s="10"/>
      <c r="F10" s="10"/>
      <c r="G10" s="10"/>
      <c r="H10" s="10"/>
      <c r="I10" s="10">
        <f t="shared" si="0"/>
        <v>0</v>
      </c>
    </row>
    <row r="11" spans="1:9">
      <c r="A11" s="11" t="s">
        <v>521</v>
      </c>
      <c r="B11" s="9" t="s">
        <v>522</v>
      </c>
      <c r="C11" s="10">
        <v>0.5</v>
      </c>
      <c r="D11" s="10">
        <v>1</v>
      </c>
      <c r="E11" s="10"/>
      <c r="F11" s="10"/>
      <c r="G11" s="10"/>
      <c r="H11" s="10"/>
      <c r="I11" s="10">
        <f t="shared" si="0"/>
        <v>1.5</v>
      </c>
    </row>
    <row r="12" spans="1:9">
      <c r="A12" s="11" t="s">
        <v>523</v>
      </c>
      <c r="B12" s="9" t="s">
        <v>524</v>
      </c>
      <c r="C12" s="10">
        <v>1</v>
      </c>
      <c r="D12" s="10"/>
      <c r="E12" s="10"/>
      <c r="F12" s="10"/>
      <c r="G12" s="10"/>
      <c r="H12" s="10"/>
      <c r="I12" s="10">
        <f t="shared" si="0"/>
        <v>1</v>
      </c>
    </row>
    <row r="13" spans="1:9">
      <c r="A13" s="11" t="s">
        <v>525</v>
      </c>
      <c r="B13" s="9" t="s">
        <v>526</v>
      </c>
      <c r="C13" s="10">
        <v>1</v>
      </c>
      <c r="D13" s="10"/>
      <c r="E13" s="10"/>
      <c r="F13" s="10"/>
      <c r="G13" s="10"/>
      <c r="H13" s="10"/>
      <c r="I13" s="10">
        <f t="shared" si="0"/>
        <v>1</v>
      </c>
    </row>
    <row r="14" spans="1:9">
      <c r="A14" s="11" t="s">
        <v>497</v>
      </c>
      <c r="B14" s="9" t="s">
        <v>498</v>
      </c>
      <c r="C14" s="10">
        <v>1</v>
      </c>
      <c r="D14" s="10"/>
      <c r="E14" s="10"/>
      <c r="F14" s="10"/>
      <c r="G14" s="10"/>
      <c r="H14" s="10"/>
      <c r="I14" s="10">
        <f t="shared" si="0"/>
        <v>1</v>
      </c>
    </row>
    <row r="15" spans="1:9">
      <c r="A15" s="11" t="s">
        <v>527</v>
      </c>
      <c r="B15" s="9" t="s">
        <v>528</v>
      </c>
      <c r="C15" s="10">
        <v>1</v>
      </c>
      <c r="D15" s="10"/>
      <c r="E15" s="10"/>
      <c r="F15" s="10"/>
      <c r="G15" s="10"/>
      <c r="H15" s="10"/>
      <c r="I15" s="10">
        <f t="shared" si="0"/>
        <v>1</v>
      </c>
    </row>
    <row r="16" spans="1:9">
      <c r="A16" s="11" t="s">
        <v>499</v>
      </c>
      <c r="B16" s="9" t="s">
        <v>500</v>
      </c>
      <c r="C16" s="10">
        <v>1</v>
      </c>
      <c r="D16" s="10"/>
      <c r="E16" s="10"/>
      <c r="F16" s="10"/>
      <c r="G16" s="10"/>
      <c r="H16" s="10"/>
      <c r="I16" s="10">
        <f t="shared" si="0"/>
        <v>1</v>
      </c>
    </row>
    <row r="17" spans="1:9">
      <c r="A17" s="11" t="s">
        <v>529</v>
      </c>
      <c r="B17" s="9" t="s">
        <v>530</v>
      </c>
      <c r="C17" s="10">
        <v>0.5</v>
      </c>
      <c r="D17" s="10"/>
      <c r="E17" s="10"/>
      <c r="F17" s="10"/>
      <c r="G17" s="10"/>
      <c r="H17" s="10"/>
      <c r="I17" s="10">
        <f t="shared" si="0"/>
        <v>0.5</v>
      </c>
    </row>
    <row r="18" spans="1:9">
      <c r="A18" s="11" t="s">
        <v>501</v>
      </c>
      <c r="B18" s="9" t="s">
        <v>502</v>
      </c>
      <c r="C18" s="10">
        <v>0</v>
      </c>
      <c r="D18" s="10"/>
      <c r="E18" s="10"/>
      <c r="F18" s="10"/>
      <c r="G18" s="10"/>
      <c r="H18" s="10"/>
      <c r="I18" s="10">
        <f t="shared" si="0"/>
        <v>0</v>
      </c>
    </row>
    <row r="19" spans="1:9">
      <c r="A19" s="11" t="s">
        <v>531</v>
      </c>
      <c r="B19" s="9" t="s">
        <v>532</v>
      </c>
      <c r="C19" s="10">
        <v>1</v>
      </c>
      <c r="D19" s="10"/>
      <c r="E19" s="10"/>
      <c r="F19" s="10"/>
      <c r="G19" s="10"/>
      <c r="H19" s="10"/>
      <c r="I19" s="10">
        <f t="shared" si="0"/>
        <v>1</v>
      </c>
    </row>
    <row r="20" spans="1:9">
      <c r="A20" s="11" t="s">
        <v>503</v>
      </c>
      <c r="B20" s="9" t="s">
        <v>504</v>
      </c>
      <c r="C20" s="10">
        <v>1</v>
      </c>
      <c r="D20" s="10"/>
      <c r="E20" s="10"/>
      <c r="F20" s="10"/>
      <c r="G20" s="10"/>
      <c r="H20" s="10"/>
      <c r="I20" s="10">
        <f t="shared" si="0"/>
        <v>1</v>
      </c>
    </row>
    <row r="21" spans="1:9">
      <c r="A21" s="11" t="s">
        <v>533</v>
      </c>
      <c r="B21" s="9" t="s">
        <v>534</v>
      </c>
      <c r="C21" s="10">
        <v>1</v>
      </c>
      <c r="D21" s="10">
        <v>1</v>
      </c>
      <c r="E21" s="10"/>
      <c r="F21" s="10"/>
      <c r="G21" s="10"/>
      <c r="H21" s="10"/>
      <c r="I21" s="10">
        <f t="shared" si="0"/>
        <v>2</v>
      </c>
    </row>
    <row r="22" spans="1:9">
      <c r="A22" s="11" t="s">
        <v>505</v>
      </c>
      <c r="B22" s="9" t="s">
        <v>506</v>
      </c>
      <c r="C22" s="10">
        <v>1</v>
      </c>
      <c r="D22" s="10"/>
      <c r="E22" s="10"/>
      <c r="F22" s="10"/>
      <c r="G22" s="10"/>
      <c r="H22" s="10"/>
      <c r="I22" s="10">
        <f t="shared" si="0"/>
        <v>1</v>
      </c>
    </row>
    <row r="23" spans="1:9">
      <c r="A23" s="11" t="s">
        <v>507</v>
      </c>
      <c r="B23" s="9" t="s">
        <v>508</v>
      </c>
      <c r="C23" s="10">
        <v>0</v>
      </c>
      <c r="D23" s="10"/>
      <c r="E23" s="10"/>
      <c r="F23" s="10"/>
      <c r="G23" s="10"/>
      <c r="H23" s="10"/>
      <c r="I23" s="10">
        <f t="shared" si="0"/>
        <v>0</v>
      </c>
    </row>
    <row r="24" spans="1:9">
      <c r="A24" s="11" t="s">
        <v>535</v>
      </c>
      <c r="B24" s="9" t="s">
        <v>536</v>
      </c>
      <c r="C24" s="10">
        <v>1</v>
      </c>
      <c r="D24" s="10"/>
      <c r="E24" s="10"/>
      <c r="F24" s="10"/>
      <c r="G24" s="10"/>
      <c r="H24" s="10"/>
      <c r="I24" s="10">
        <f t="shared" si="0"/>
        <v>1</v>
      </c>
    </row>
    <row r="25" spans="1:9">
      <c r="A25" s="11" t="s">
        <v>509</v>
      </c>
      <c r="B25" s="9" t="s">
        <v>510</v>
      </c>
      <c r="C25" s="10">
        <v>1</v>
      </c>
      <c r="D25" s="10"/>
      <c r="E25" s="10"/>
      <c r="F25" s="10"/>
      <c r="G25" s="10"/>
      <c r="H25" s="10"/>
      <c r="I25" s="10">
        <f t="shared" si="0"/>
        <v>1</v>
      </c>
    </row>
    <row r="26" spans="1:9">
      <c r="A26" s="11" t="s">
        <v>537</v>
      </c>
      <c r="B26" s="9" t="s">
        <v>538</v>
      </c>
      <c r="C26" s="10">
        <v>1</v>
      </c>
      <c r="D26" s="10"/>
      <c r="E26" s="10"/>
      <c r="F26" s="10"/>
      <c r="G26" s="10"/>
      <c r="H26" s="10"/>
      <c r="I26" s="10">
        <f t="shared" si="0"/>
        <v>1</v>
      </c>
    </row>
    <row r="27" spans="1:9">
      <c r="A27" s="11" t="s">
        <v>539</v>
      </c>
      <c r="B27" s="9" t="s">
        <v>540</v>
      </c>
      <c r="C27" s="10">
        <v>1</v>
      </c>
      <c r="D27" s="10"/>
      <c r="E27" s="10"/>
      <c r="F27" s="10"/>
      <c r="G27" s="10"/>
      <c r="H27" s="10"/>
      <c r="I27" s="10">
        <f t="shared" si="0"/>
        <v>1</v>
      </c>
    </row>
    <row r="28" spans="1:9">
      <c r="A28" s="11" t="s">
        <v>511</v>
      </c>
      <c r="B28" s="9" t="s">
        <v>512</v>
      </c>
      <c r="C28" s="10">
        <v>1</v>
      </c>
      <c r="D28" s="10"/>
      <c r="E28" s="10"/>
      <c r="F28" s="10"/>
      <c r="G28" s="10"/>
      <c r="H28" s="10"/>
      <c r="I28" s="10">
        <f t="shared" si="0"/>
        <v>1</v>
      </c>
    </row>
    <row r="29" spans="1:9">
      <c r="A29" s="11" t="s">
        <v>541</v>
      </c>
      <c r="B29" s="9" t="s">
        <v>542</v>
      </c>
      <c r="C29" s="10">
        <v>1</v>
      </c>
      <c r="D29" s="10"/>
      <c r="E29" s="10"/>
      <c r="F29" s="10"/>
      <c r="G29" s="10"/>
      <c r="H29" s="10"/>
      <c r="I29" s="10">
        <f t="shared" si="0"/>
        <v>1</v>
      </c>
    </row>
    <row r="30" spans="1:9">
      <c r="A30" s="11" t="s">
        <v>543</v>
      </c>
      <c r="B30" s="9" t="s">
        <v>44</v>
      </c>
      <c r="C30" s="10">
        <v>1</v>
      </c>
      <c r="D30" s="10"/>
      <c r="E30" s="10"/>
      <c r="F30" s="10"/>
      <c r="G30" s="10"/>
      <c r="H30" s="10"/>
      <c r="I30" s="10">
        <f t="shared" si="0"/>
        <v>1</v>
      </c>
    </row>
    <row r="31" spans="1:9">
      <c r="A31" s="11" t="s">
        <v>513</v>
      </c>
      <c r="B31" s="9" t="s">
        <v>514</v>
      </c>
      <c r="C31" s="10">
        <v>1</v>
      </c>
      <c r="D31" s="10"/>
      <c r="E31" s="10"/>
      <c r="F31" s="10"/>
      <c r="G31" s="10"/>
      <c r="H31" s="10"/>
      <c r="I31" s="10">
        <f t="shared" si="0"/>
        <v>1</v>
      </c>
    </row>
    <row r="32" spans="1:9">
      <c r="A32" s="11" t="s">
        <v>544</v>
      </c>
      <c r="B32" s="9" t="s">
        <v>545</v>
      </c>
      <c r="C32" s="10">
        <v>1</v>
      </c>
      <c r="D32" s="10">
        <v>1</v>
      </c>
      <c r="E32" s="10"/>
      <c r="F32" s="10"/>
      <c r="G32" s="10"/>
      <c r="H32" s="10"/>
      <c r="I32" s="10">
        <f t="shared" si="0"/>
        <v>2</v>
      </c>
    </row>
    <row r="33" spans="1:9">
      <c r="A33" s="11" t="s">
        <v>546</v>
      </c>
      <c r="B33" s="9" t="s">
        <v>547</v>
      </c>
      <c r="C33" s="10">
        <v>1</v>
      </c>
      <c r="D33" s="10"/>
      <c r="E33" s="10"/>
      <c r="F33" s="10"/>
      <c r="G33" s="10"/>
      <c r="H33" s="10"/>
      <c r="I33" s="10">
        <f t="shared" si="0"/>
        <v>1</v>
      </c>
    </row>
    <row r="34" spans="1:9">
      <c r="A34" s="11" t="s">
        <v>198</v>
      </c>
      <c r="B34" s="9" t="s">
        <v>199</v>
      </c>
      <c r="C34" s="10">
        <v>1</v>
      </c>
      <c r="D34" s="10"/>
      <c r="E34" s="10"/>
      <c r="F34" s="10"/>
      <c r="G34" s="10"/>
      <c r="H34" s="10"/>
      <c r="I34" s="10">
        <f t="shared" si="0"/>
        <v>1</v>
      </c>
    </row>
    <row r="35" spans="1:9">
      <c r="A35" s="11" t="s">
        <v>200</v>
      </c>
      <c r="B35" s="9" t="s">
        <v>201</v>
      </c>
      <c r="C35" s="10">
        <v>1</v>
      </c>
      <c r="D35" s="10"/>
      <c r="E35" s="10"/>
      <c r="F35" s="10"/>
      <c r="G35" s="10"/>
      <c r="H35" s="10"/>
      <c r="I35" s="10">
        <f t="shared" si="0"/>
        <v>1</v>
      </c>
    </row>
    <row r="36" spans="1:9">
      <c r="A36" s="11" t="s">
        <v>605</v>
      </c>
      <c r="B36" s="9" t="s">
        <v>606</v>
      </c>
      <c r="C36" s="10">
        <v>1</v>
      </c>
      <c r="D36" s="10"/>
      <c r="E36" s="10"/>
      <c r="F36" s="10"/>
      <c r="G36" s="10"/>
      <c r="H36" s="10"/>
      <c r="I36" s="10">
        <f t="shared" si="0"/>
        <v>1</v>
      </c>
    </row>
    <row r="37" spans="1:9">
      <c r="A37" s="11" t="s">
        <v>607</v>
      </c>
      <c r="B37" s="9" t="s">
        <v>608</v>
      </c>
      <c r="C37" s="10">
        <v>1</v>
      </c>
      <c r="D37" s="10"/>
      <c r="E37" s="10"/>
      <c r="F37" s="10"/>
      <c r="G37" s="10"/>
      <c r="H37" s="10"/>
      <c r="I37" s="10">
        <f t="shared" si="0"/>
        <v>1</v>
      </c>
    </row>
    <row r="38" spans="1:9">
      <c r="A38" s="11" t="s">
        <v>202</v>
      </c>
      <c r="B38" s="9" t="s">
        <v>203</v>
      </c>
      <c r="C38" s="10">
        <v>1</v>
      </c>
      <c r="D38" s="10"/>
      <c r="E38" s="10"/>
      <c r="F38" s="10"/>
      <c r="G38" s="10"/>
      <c r="H38" s="10"/>
      <c r="I38" s="10">
        <f t="shared" si="0"/>
        <v>1</v>
      </c>
    </row>
    <row r="39" spans="1:9">
      <c r="A39" s="11" t="s">
        <v>204</v>
      </c>
      <c r="B39" s="9" t="s">
        <v>205</v>
      </c>
      <c r="C39" s="10">
        <v>1</v>
      </c>
      <c r="D39" s="10"/>
      <c r="E39" s="10"/>
      <c r="F39" s="10"/>
      <c r="G39" s="10"/>
      <c r="H39" s="10"/>
      <c r="I39" s="10">
        <f t="shared" si="0"/>
        <v>1</v>
      </c>
    </row>
    <row r="40" spans="1:9">
      <c r="A40" s="11" t="s">
        <v>609</v>
      </c>
      <c r="B40" s="9" t="s">
        <v>610</v>
      </c>
      <c r="C40" s="10">
        <v>1</v>
      </c>
      <c r="D40" s="10"/>
      <c r="E40" s="10"/>
      <c r="F40" s="10"/>
      <c r="G40" s="10"/>
      <c r="H40" s="10"/>
      <c r="I40" s="10">
        <f t="shared" si="0"/>
        <v>1</v>
      </c>
    </row>
    <row r="41" spans="1:9">
      <c r="A41" s="11" t="s">
        <v>110</v>
      </c>
      <c r="B41" s="9" t="s">
        <v>111</v>
      </c>
      <c r="C41" s="10">
        <v>1</v>
      </c>
      <c r="D41" s="10"/>
      <c r="E41" s="10"/>
      <c r="F41" s="10"/>
      <c r="G41" s="10"/>
      <c r="H41" s="10"/>
      <c r="I41" s="10">
        <f t="shared" si="0"/>
        <v>1</v>
      </c>
    </row>
    <row r="42" spans="1:9">
      <c r="A42" s="11" t="s">
        <v>112</v>
      </c>
      <c r="B42" s="9" t="s">
        <v>113</v>
      </c>
      <c r="C42" s="10">
        <v>1</v>
      </c>
      <c r="D42" s="10"/>
      <c r="E42" s="10"/>
      <c r="F42" s="10"/>
      <c r="G42" s="10"/>
      <c r="H42" s="10"/>
      <c r="I42" s="10">
        <f t="shared" si="0"/>
        <v>1</v>
      </c>
    </row>
    <row r="43" spans="1:9">
      <c r="A43" s="11" t="s">
        <v>206</v>
      </c>
      <c r="B43" s="9" t="s">
        <v>207</v>
      </c>
      <c r="C43" s="10">
        <v>1</v>
      </c>
      <c r="D43" s="10"/>
      <c r="E43" s="10"/>
      <c r="F43" s="10"/>
      <c r="G43" s="10"/>
      <c r="H43" s="10"/>
      <c r="I43" s="10">
        <f t="shared" si="0"/>
        <v>1</v>
      </c>
    </row>
    <row r="44" spans="1:9">
      <c r="A44" s="11" t="s">
        <v>114</v>
      </c>
      <c r="B44" s="9" t="s">
        <v>115</v>
      </c>
      <c r="C44" s="10">
        <v>1</v>
      </c>
      <c r="D44" s="10">
        <v>-0.5</v>
      </c>
      <c r="E44" s="10"/>
      <c r="F44" s="10"/>
      <c r="G44" s="10"/>
      <c r="H44" s="10"/>
      <c r="I44" s="10">
        <f t="shared" si="0"/>
        <v>0.5</v>
      </c>
    </row>
    <row r="45" spans="1:9">
      <c r="A45" s="11" t="s">
        <v>393</v>
      </c>
      <c r="B45" s="9" t="s">
        <v>394</v>
      </c>
      <c r="C45" s="10">
        <v>1</v>
      </c>
      <c r="D45" s="10"/>
      <c r="E45" s="10"/>
      <c r="F45" s="10"/>
      <c r="G45" s="10"/>
      <c r="H45" s="10"/>
      <c r="I45" s="10">
        <f t="shared" si="0"/>
        <v>1</v>
      </c>
    </row>
    <row r="46" spans="1:9">
      <c r="A46" s="11" t="s">
        <v>116</v>
      </c>
      <c r="B46" s="9" t="s">
        <v>130</v>
      </c>
      <c r="C46" s="10">
        <v>1</v>
      </c>
      <c r="D46" s="10"/>
      <c r="E46" s="10"/>
      <c r="F46" s="10"/>
      <c r="G46" s="10"/>
      <c r="H46" s="10"/>
      <c r="I46" s="10">
        <f t="shared" si="0"/>
        <v>1</v>
      </c>
    </row>
    <row r="47" spans="1:9">
      <c r="A47" s="11" t="s">
        <v>117</v>
      </c>
      <c r="B47" s="9" t="s">
        <v>118</v>
      </c>
      <c r="C47" s="10">
        <v>1</v>
      </c>
      <c r="D47" s="10"/>
      <c r="E47" s="10"/>
      <c r="F47" s="10"/>
      <c r="G47" s="10"/>
      <c r="H47" s="10"/>
      <c r="I47" s="10">
        <f t="shared" si="0"/>
        <v>1</v>
      </c>
    </row>
    <row r="48" spans="1:9">
      <c r="A48" s="11" t="s">
        <v>119</v>
      </c>
      <c r="B48" s="9" t="s">
        <v>120</v>
      </c>
      <c r="C48" s="10">
        <v>1</v>
      </c>
      <c r="D48" s="10"/>
      <c r="E48" s="10"/>
      <c r="F48" s="10"/>
      <c r="G48" s="10"/>
      <c r="H48" s="10"/>
      <c r="I48" s="10">
        <f t="shared" si="0"/>
        <v>1</v>
      </c>
    </row>
    <row r="49" spans="1:10">
      <c r="A49" s="11" t="s">
        <v>395</v>
      </c>
      <c r="B49" s="9" t="s">
        <v>396</v>
      </c>
      <c r="C49" s="10">
        <v>1</v>
      </c>
      <c r="D49" s="10"/>
      <c r="E49" s="10"/>
      <c r="F49" s="10"/>
      <c r="G49" s="10"/>
      <c r="H49" s="10"/>
      <c r="I49" s="10">
        <f t="shared" si="0"/>
        <v>1</v>
      </c>
    </row>
    <row r="50" spans="1:10">
      <c r="A50" s="11" t="s">
        <v>443</v>
      </c>
      <c r="B50" s="9" t="s">
        <v>444</v>
      </c>
      <c r="C50" s="10">
        <v>1</v>
      </c>
      <c r="D50" s="10"/>
      <c r="E50" s="10"/>
      <c r="F50" s="10"/>
      <c r="G50" s="10"/>
      <c r="H50" s="10"/>
      <c r="I50" s="10">
        <f t="shared" si="0"/>
        <v>1</v>
      </c>
    </row>
    <row r="51" spans="1:10">
      <c r="A51" s="11" t="s">
        <v>397</v>
      </c>
      <c r="B51" s="9" t="s">
        <v>398</v>
      </c>
      <c r="C51" s="10">
        <v>0.5</v>
      </c>
      <c r="D51" s="10"/>
      <c r="E51" s="10"/>
      <c r="F51" s="10"/>
      <c r="G51" s="10"/>
      <c r="H51" s="10"/>
      <c r="I51" s="10">
        <f t="shared" si="0"/>
        <v>0.5</v>
      </c>
    </row>
    <row r="52" spans="1:10">
      <c r="A52" s="11" t="s">
        <v>445</v>
      </c>
      <c r="B52" s="9" t="s">
        <v>446</v>
      </c>
      <c r="C52" s="10">
        <v>1</v>
      </c>
      <c r="D52" s="10"/>
      <c r="E52" s="10"/>
      <c r="F52" s="10"/>
      <c r="G52" s="10"/>
      <c r="H52" s="10"/>
      <c r="I52" s="10">
        <f t="shared" si="0"/>
        <v>1</v>
      </c>
    </row>
    <row r="53" spans="1:10">
      <c r="A53" s="11" t="s">
        <v>447</v>
      </c>
      <c r="B53" s="9" t="s">
        <v>448</v>
      </c>
      <c r="C53" s="10">
        <v>1</v>
      </c>
      <c r="D53" s="10"/>
      <c r="E53" s="10"/>
      <c r="F53" s="10"/>
      <c r="G53" s="10"/>
      <c r="H53" s="10"/>
      <c r="I53" s="10">
        <f t="shared" si="0"/>
        <v>1</v>
      </c>
    </row>
    <row r="54" spans="1:10">
      <c r="A54" s="11" t="s">
        <v>399</v>
      </c>
      <c r="B54" s="9" t="s">
        <v>400</v>
      </c>
      <c r="C54" s="10">
        <v>1</v>
      </c>
      <c r="D54" s="10"/>
      <c r="E54" s="10"/>
      <c r="F54" s="10"/>
      <c r="G54" s="10"/>
      <c r="H54" s="10"/>
      <c r="I54" s="10">
        <f t="shared" si="0"/>
        <v>1</v>
      </c>
    </row>
    <row r="55" spans="1:10">
      <c r="A55" s="11" t="s">
        <v>449</v>
      </c>
      <c r="B55" s="9" t="s">
        <v>450</v>
      </c>
      <c r="C55" s="10">
        <v>0.5</v>
      </c>
      <c r="D55" s="10"/>
      <c r="E55" s="10"/>
      <c r="F55" s="10"/>
      <c r="G55" s="10"/>
      <c r="H55" s="10"/>
      <c r="I55" s="10">
        <f t="shared" si="0"/>
        <v>0.5</v>
      </c>
    </row>
    <row r="56" spans="1:10">
      <c r="A56" s="11" t="s">
        <v>401</v>
      </c>
      <c r="B56" s="9" t="s">
        <v>402</v>
      </c>
      <c r="C56" s="10">
        <v>1</v>
      </c>
      <c r="D56" s="10"/>
      <c r="E56" s="10"/>
      <c r="F56" s="10"/>
      <c r="G56" s="10"/>
      <c r="H56" s="10"/>
      <c r="I56" s="10">
        <f t="shared" si="0"/>
        <v>1</v>
      </c>
    </row>
    <row r="57" spans="1:10">
      <c r="A57" s="11" t="s">
        <v>451</v>
      </c>
      <c r="B57" s="9" t="s">
        <v>452</v>
      </c>
      <c r="C57" s="10">
        <v>0</v>
      </c>
      <c r="D57" s="10"/>
      <c r="E57" s="10"/>
      <c r="F57" s="10"/>
      <c r="G57" s="10"/>
      <c r="H57" s="10"/>
      <c r="I57" s="10">
        <f t="shared" si="0"/>
        <v>0</v>
      </c>
    </row>
    <row r="58" spans="1:10">
      <c r="A58" s="11" t="s">
        <v>403</v>
      </c>
      <c r="B58" s="9" t="s">
        <v>404</v>
      </c>
      <c r="C58" s="10">
        <v>1</v>
      </c>
      <c r="D58" s="10"/>
      <c r="E58" s="10"/>
      <c r="F58" s="10"/>
      <c r="G58" s="10"/>
      <c r="H58" s="10"/>
      <c r="I58" s="10">
        <f t="shared" si="0"/>
        <v>1</v>
      </c>
    </row>
    <row r="59" spans="1:10">
      <c r="A59" s="11" t="s">
        <v>453</v>
      </c>
      <c r="B59" s="9" t="s">
        <v>454</v>
      </c>
      <c r="C59" s="10">
        <v>1</v>
      </c>
      <c r="D59" s="10"/>
      <c r="E59" s="10"/>
      <c r="F59" s="10"/>
      <c r="G59" s="10"/>
      <c r="H59" s="10"/>
      <c r="I59" s="10">
        <f t="shared" si="0"/>
        <v>1</v>
      </c>
    </row>
    <row r="60" spans="1:10">
      <c r="A60" s="11" t="s">
        <v>405</v>
      </c>
      <c r="B60" s="9" t="s">
        <v>406</v>
      </c>
      <c r="C60" s="10">
        <v>1</v>
      </c>
      <c r="D60" s="10"/>
      <c r="E60" s="10"/>
      <c r="F60" s="10"/>
      <c r="G60" s="10"/>
      <c r="H60" s="10"/>
      <c r="I60" s="10">
        <f t="shared" si="0"/>
        <v>1</v>
      </c>
    </row>
    <row r="61" spans="1:10">
      <c r="A61" s="11" t="s">
        <v>455</v>
      </c>
      <c r="B61" s="9" t="s">
        <v>456</v>
      </c>
      <c r="C61" s="18">
        <v>1</v>
      </c>
      <c r="D61" s="18"/>
      <c r="E61" s="18"/>
      <c r="F61" s="18"/>
      <c r="G61" s="18"/>
      <c r="H61" s="18"/>
      <c r="I61" s="10">
        <f t="shared" si="0"/>
        <v>1</v>
      </c>
    </row>
    <row r="62" spans="1:10">
      <c r="A62" s="11" t="s">
        <v>407</v>
      </c>
      <c r="B62" s="20" t="s">
        <v>408</v>
      </c>
      <c r="C62" s="10">
        <v>0</v>
      </c>
      <c r="D62" s="10"/>
      <c r="E62" s="10"/>
      <c r="F62" s="10"/>
      <c r="G62" s="10"/>
      <c r="H62" s="10"/>
      <c r="I62" s="10">
        <f t="shared" si="0"/>
        <v>0</v>
      </c>
      <c r="J62" s="7"/>
    </row>
    <row r="63" spans="1:10">
      <c r="A63" s="11" t="s">
        <v>457</v>
      </c>
      <c r="B63" s="20" t="s">
        <v>458</v>
      </c>
      <c r="C63" s="10">
        <v>1</v>
      </c>
      <c r="D63" s="10"/>
      <c r="E63" s="10"/>
      <c r="F63" s="10"/>
      <c r="G63" s="10"/>
      <c r="H63" s="10"/>
      <c r="I63" s="10">
        <f t="shared" si="0"/>
        <v>1</v>
      </c>
      <c r="J63" s="7"/>
    </row>
    <row r="64" spans="1:10">
      <c r="A64" s="11" t="s">
        <v>459</v>
      </c>
      <c r="B64" s="20" t="s">
        <v>460</v>
      </c>
      <c r="C64" s="10">
        <v>1</v>
      </c>
      <c r="D64" s="10"/>
      <c r="E64" s="10"/>
      <c r="F64" s="10"/>
      <c r="G64" s="10"/>
      <c r="H64" s="10"/>
      <c r="I64" s="10">
        <f t="shared" si="0"/>
        <v>1</v>
      </c>
      <c r="J64" s="7"/>
    </row>
    <row r="65" spans="1:10">
      <c r="A65" s="11" t="s">
        <v>0</v>
      </c>
      <c r="B65" s="20" t="s">
        <v>1</v>
      </c>
      <c r="C65" s="10">
        <v>1</v>
      </c>
      <c r="D65" s="10"/>
      <c r="E65" s="10"/>
      <c r="F65" s="10"/>
      <c r="G65" s="10"/>
      <c r="H65" s="10"/>
      <c r="I65" s="10">
        <f t="shared" si="0"/>
        <v>1</v>
      </c>
      <c r="J65" s="7"/>
    </row>
    <row r="66" spans="1:10">
      <c r="A66" s="11" t="s">
        <v>2</v>
      </c>
      <c r="B66" s="20" t="s">
        <v>3</v>
      </c>
      <c r="C66" s="10">
        <v>1</v>
      </c>
      <c r="D66" s="10">
        <v>1</v>
      </c>
      <c r="E66" s="10"/>
      <c r="F66" s="10"/>
      <c r="G66" s="10"/>
      <c r="H66" s="10"/>
      <c r="I66" s="10">
        <f t="shared" si="0"/>
        <v>2</v>
      </c>
      <c r="J66" s="7"/>
    </row>
    <row r="67" spans="1:10">
      <c r="A67" s="11" t="s">
        <v>4</v>
      </c>
      <c r="B67" s="20" t="s">
        <v>5</v>
      </c>
      <c r="C67" s="10">
        <v>1</v>
      </c>
      <c r="D67" s="10"/>
      <c r="E67" s="10"/>
      <c r="F67" s="10"/>
      <c r="G67" s="10"/>
      <c r="H67" s="10"/>
      <c r="I67" s="10">
        <f>SUM(C67:H67)</f>
        <v>1</v>
      </c>
      <c r="J67" s="7"/>
    </row>
    <row r="68" spans="1:10">
      <c r="C68" s="6"/>
      <c r="D68" s="6"/>
      <c r="E68" s="6"/>
      <c r="F68" s="6"/>
      <c r="G68" s="6"/>
      <c r="H68" s="6"/>
      <c r="I68" s="6"/>
      <c r="J68" s="7"/>
    </row>
    <row r="69" spans="1:10">
      <c r="A69" s="5" t="s">
        <v>142</v>
      </c>
      <c r="C69" s="6"/>
      <c r="D69" s="6"/>
      <c r="E69" s="6"/>
      <c r="F69" s="6"/>
      <c r="G69" s="6"/>
      <c r="H69" s="6"/>
      <c r="I69" s="6"/>
      <c r="J69" s="7"/>
    </row>
    <row r="70" spans="1:10">
      <c r="A70" s="3" t="s">
        <v>145</v>
      </c>
      <c r="C70" s="6"/>
      <c r="D70" s="6"/>
      <c r="E70" s="6"/>
      <c r="F70" s="6"/>
      <c r="G70" s="6"/>
      <c r="H70" s="6"/>
      <c r="I70" s="6"/>
      <c r="J70" s="7"/>
    </row>
    <row r="71" spans="1:10">
      <c r="A71" s="2" t="s">
        <v>910</v>
      </c>
      <c r="C71" s="6"/>
      <c r="D71" s="6"/>
      <c r="E71" s="6"/>
      <c r="F71" s="6"/>
      <c r="G71" s="6"/>
      <c r="H71" s="6"/>
    </row>
    <row r="72" spans="1:10">
      <c r="C72" s="6"/>
      <c r="D72" s="6"/>
      <c r="E72" s="6"/>
      <c r="F72" s="6"/>
      <c r="G72" s="6"/>
      <c r="H72" s="6"/>
      <c r="I72" s="6"/>
      <c r="J72" s="7"/>
    </row>
    <row r="73" spans="1:10">
      <c r="C73" s="6"/>
      <c r="D73" s="6"/>
      <c r="E73" s="6"/>
      <c r="F73" s="6"/>
      <c r="G73" s="6"/>
      <c r="H73" s="6"/>
      <c r="I73" s="6"/>
      <c r="J73" s="7"/>
    </row>
    <row r="74" spans="1:10">
      <c r="C74" s="6"/>
      <c r="D74" s="6"/>
      <c r="E74" s="6"/>
      <c r="F74" s="6"/>
      <c r="G74" s="6"/>
      <c r="H74" s="6"/>
      <c r="I74" s="6"/>
      <c r="J74" s="7"/>
    </row>
    <row r="75" spans="1:10">
      <c r="C75" s="6"/>
      <c r="D75" s="6"/>
      <c r="E75" s="6"/>
      <c r="F75" s="6"/>
      <c r="G75" s="6"/>
      <c r="H75" s="6"/>
      <c r="I75" s="6"/>
      <c r="J75" s="7"/>
    </row>
    <row r="76" spans="1:10">
      <c r="C76" s="6"/>
      <c r="D76" s="6"/>
      <c r="E76" s="6"/>
      <c r="F76" s="6"/>
      <c r="G76" s="6"/>
      <c r="H76" s="6"/>
      <c r="I76" s="6"/>
      <c r="J76" s="7"/>
    </row>
    <row r="77" spans="1:10">
      <c r="C77" s="6"/>
      <c r="D77" s="6"/>
      <c r="E77" s="6"/>
      <c r="F77" s="6"/>
      <c r="G77" s="6"/>
      <c r="H77" s="6"/>
      <c r="I77" s="6"/>
      <c r="J77" s="7"/>
    </row>
    <row r="78" spans="1:10">
      <c r="C78" s="6"/>
      <c r="D78" s="6"/>
      <c r="E78" s="6"/>
      <c r="F78" s="6"/>
      <c r="G78" s="6"/>
      <c r="H78" s="6"/>
      <c r="I78" s="6"/>
      <c r="J78" s="7"/>
    </row>
    <row r="79" spans="1:10">
      <c r="C79" s="6"/>
      <c r="D79" s="6"/>
      <c r="E79" s="6"/>
      <c r="F79" s="6"/>
      <c r="G79" s="6"/>
      <c r="H79" s="6"/>
      <c r="I79" s="6"/>
      <c r="J79" s="7"/>
    </row>
    <row r="80" spans="1:10">
      <c r="C80" s="6"/>
      <c r="D80" s="6"/>
      <c r="E80" s="6"/>
      <c r="F80" s="6"/>
      <c r="G80" s="6"/>
      <c r="H80" s="6"/>
      <c r="I80" s="6"/>
      <c r="J80" s="7"/>
    </row>
    <row r="81" spans="3:10">
      <c r="C81" s="6"/>
      <c r="D81" s="6"/>
      <c r="E81" s="6"/>
      <c r="F81" s="6"/>
      <c r="G81" s="6"/>
      <c r="H81" s="6"/>
      <c r="I81" s="6"/>
      <c r="J81" s="7"/>
    </row>
    <row r="82" spans="3:10">
      <c r="C82" s="6"/>
      <c r="D82" s="6"/>
      <c r="E82" s="6"/>
      <c r="F82" s="6"/>
      <c r="G82" s="6"/>
      <c r="H82" s="6"/>
      <c r="I82" s="6"/>
      <c r="J82" s="7"/>
    </row>
    <row r="83" spans="3:10">
      <c r="C83" s="6"/>
      <c r="D83" s="6"/>
      <c r="E83" s="6"/>
      <c r="F83" s="6"/>
      <c r="G83" s="6"/>
      <c r="H83" s="6"/>
      <c r="I83" s="6"/>
      <c r="J83" s="7"/>
    </row>
    <row r="84" spans="3:10">
      <c r="C84" s="6"/>
      <c r="D84" s="6"/>
      <c r="E84" s="6"/>
      <c r="F84" s="6"/>
      <c r="G84" s="6"/>
      <c r="H84" s="6"/>
      <c r="I84" s="6"/>
      <c r="J84" s="7"/>
    </row>
    <row r="85" spans="3:10">
      <c r="C85" s="6"/>
      <c r="D85" s="6"/>
      <c r="E85" s="6"/>
      <c r="F85" s="6"/>
      <c r="G85" s="6"/>
      <c r="H85" s="6"/>
      <c r="I85" s="6"/>
      <c r="J85" s="7"/>
    </row>
    <row r="86" spans="3:10">
      <c r="C86" s="6"/>
      <c r="D86" s="6"/>
      <c r="E86" s="6"/>
      <c r="F86" s="6"/>
      <c r="G86" s="6"/>
      <c r="H86" s="6"/>
      <c r="I86" s="6"/>
      <c r="J86" s="7"/>
    </row>
    <row r="87" spans="3:10">
      <c r="C87" s="6"/>
      <c r="D87" s="6"/>
      <c r="E87" s="6"/>
      <c r="F87" s="6"/>
      <c r="G87" s="6"/>
      <c r="H87" s="6"/>
      <c r="I87" s="6"/>
      <c r="J87" s="7"/>
    </row>
    <row r="88" spans="3:10">
      <c r="C88" s="6"/>
      <c r="D88" s="6"/>
      <c r="E88" s="6"/>
      <c r="F88" s="6"/>
      <c r="G88" s="6"/>
      <c r="H88" s="6"/>
      <c r="I88" s="6"/>
      <c r="J88" s="7"/>
    </row>
    <row r="89" spans="3:10">
      <c r="C89" s="6"/>
      <c r="D89" s="6"/>
      <c r="E89" s="6"/>
      <c r="F89" s="6"/>
      <c r="G89" s="6"/>
      <c r="H89" s="6"/>
      <c r="I89" s="6"/>
      <c r="J89" s="7"/>
    </row>
    <row r="90" spans="3:10">
      <c r="C90" s="6"/>
      <c r="D90" s="6"/>
      <c r="E90" s="6"/>
      <c r="F90" s="6"/>
      <c r="G90" s="6"/>
      <c r="H90" s="6"/>
      <c r="I90" s="6"/>
      <c r="J90" s="7"/>
    </row>
    <row r="91" spans="3:10">
      <c r="C91" s="6"/>
      <c r="D91" s="6"/>
      <c r="E91" s="6"/>
      <c r="F91" s="6"/>
      <c r="G91" s="6"/>
      <c r="H91" s="6"/>
      <c r="I91" s="6"/>
      <c r="J91" s="7"/>
    </row>
    <row r="92" spans="3:10">
      <c r="C92" s="6"/>
      <c r="D92" s="6"/>
      <c r="E92" s="6"/>
      <c r="F92" s="6"/>
      <c r="G92" s="6"/>
      <c r="H92" s="6"/>
      <c r="I92" s="6"/>
      <c r="J92" s="7"/>
    </row>
    <row r="93" spans="3:10">
      <c r="C93" s="6"/>
      <c r="D93" s="6"/>
      <c r="E93" s="6"/>
      <c r="F93" s="6"/>
      <c r="G93" s="6"/>
      <c r="H93" s="6"/>
      <c r="I93" s="6"/>
      <c r="J93" s="7"/>
    </row>
    <row r="94" spans="3:10">
      <c r="C94" s="6"/>
      <c r="D94" s="6"/>
      <c r="E94" s="6"/>
      <c r="F94" s="6"/>
      <c r="G94" s="6"/>
      <c r="H94" s="6"/>
      <c r="I94" s="6"/>
      <c r="J94" s="7"/>
    </row>
    <row r="95" spans="3:10">
      <c r="C95" s="6"/>
      <c r="D95" s="6"/>
      <c r="E95" s="6"/>
      <c r="F95" s="6"/>
      <c r="G95" s="6"/>
      <c r="H95" s="6"/>
      <c r="I95" s="6"/>
      <c r="J95" s="7"/>
    </row>
    <row r="96" spans="3:10">
      <c r="C96" s="6"/>
      <c r="D96" s="6"/>
      <c r="E96" s="6"/>
      <c r="F96" s="6"/>
      <c r="G96" s="6"/>
      <c r="H96" s="6"/>
      <c r="I96" s="6"/>
      <c r="J96" s="7"/>
    </row>
    <row r="97" spans="3:10">
      <c r="C97" s="6"/>
      <c r="D97" s="6"/>
      <c r="E97" s="6"/>
      <c r="F97" s="6"/>
      <c r="G97" s="6"/>
      <c r="H97" s="6"/>
      <c r="I97" s="6"/>
      <c r="J97" s="7"/>
    </row>
    <row r="98" spans="3:10">
      <c r="C98" s="6"/>
      <c r="D98" s="6"/>
      <c r="E98" s="6"/>
      <c r="F98" s="6"/>
      <c r="G98" s="6"/>
      <c r="H98" s="6"/>
      <c r="I98" s="6"/>
      <c r="J98" s="7"/>
    </row>
    <row r="99" spans="3:10">
      <c r="C99" s="6"/>
      <c r="D99" s="6"/>
      <c r="E99" s="6"/>
      <c r="F99" s="6"/>
      <c r="G99" s="6"/>
      <c r="H99" s="6"/>
      <c r="I99" s="6"/>
      <c r="J99" s="7"/>
    </row>
    <row r="100" spans="3:10">
      <c r="C100" s="6"/>
      <c r="D100" s="6"/>
      <c r="E100" s="6"/>
      <c r="F100" s="6"/>
      <c r="G100" s="6"/>
      <c r="H100" s="6"/>
      <c r="I100" s="6"/>
      <c r="J100" s="7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82" workbookViewId="0">
      <selection activeCell="A102" sqref="A102:XFD102"/>
    </sheetView>
  </sheetViews>
  <sheetFormatPr defaultRowHeight="16.2"/>
  <cols>
    <col min="1" max="2" width="12.44140625" style="2" customWidth="1"/>
    <col min="3" max="10" width="8.88671875" style="2"/>
  </cols>
  <sheetData>
    <row r="1" spans="1:10">
      <c r="A1" s="4" t="s">
        <v>1911</v>
      </c>
      <c r="B1" s="4"/>
      <c r="C1" s="86">
        <f>MAX(J2:J97)</f>
        <v>1</v>
      </c>
      <c r="G1" s="45"/>
      <c r="J1" s="85"/>
    </row>
    <row r="2" spans="1:10">
      <c r="A2" s="104" t="s">
        <v>1912</v>
      </c>
      <c r="B2" s="104" t="s">
        <v>1913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108" t="s">
        <v>1914</v>
      </c>
    </row>
    <row r="3" spans="1:10">
      <c r="A3" s="2" t="str">
        <f>"408510003"</f>
        <v>408510003</v>
      </c>
      <c r="B3" s="2" t="s">
        <v>1915</v>
      </c>
      <c r="J3" s="2">
        <f>SUM(C3:I3)</f>
        <v>0</v>
      </c>
    </row>
    <row r="4" spans="1:10">
      <c r="A4" s="2" t="str">
        <f>"408510005"</f>
        <v>408510005</v>
      </c>
      <c r="B4" s="2" t="s">
        <v>1916</v>
      </c>
      <c r="J4" s="2">
        <f t="shared" ref="J4:J67" si="0">SUM(C4:I4)</f>
        <v>0</v>
      </c>
    </row>
    <row r="5" spans="1:10">
      <c r="A5" s="2" t="str">
        <f>"408510007"</f>
        <v>408510007</v>
      </c>
      <c r="B5" s="2" t="s">
        <v>1917</v>
      </c>
      <c r="J5" s="2">
        <f t="shared" si="0"/>
        <v>0</v>
      </c>
    </row>
    <row r="6" spans="1:10">
      <c r="A6" s="2" t="str">
        <f>"408510009"</f>
        <v>408510009</v>
      </c>
      <c r="B6" s="2" t="s">
        <v>1918</v>
      </c>
      <c r="J6" s="2">
        <f t="shared" si="0"/>
        <v>0</v>
      </c>
    </row>
    <row r="7" spans="1:10">
      <c r="A7" s="2" t="str">
        <f>"408510011"</f>
        <v>408510011</v>
      </c>
      <c r="B7" s="2" t="s">
        <v>1919</v>
      </c>
      <c r="J7" s="2">
        <f t="shared" si="0"/>
        <v>0</v>
      </c>
    </row>
    <row r="8" spans="1:10">
      <c r="A8" s="2" t="str">
        <f>"408510013"</f>
        <v>408510013</v>
      </c>
      <c r="B8" s="2" t="s">
        <v>1920</v>
      </c>
      <c r="J8" s="2">
        <f t="shared" si="0"/>
        <v>0</v>
      </c>
    </row>
    <row r="9" spans="1:10">
      <c r="A9" s="2" t="str">
        <f>"408510015"</f>
        <v>408510015</v>
      </c>
      <c r="B9" s="2" t="s">
        <v>1921</v>
      </c>
      <c r="C9" s="2">
        <v>1</v>
      </c>
      <c r="J9" s="2">
        <f t="shared" si="0"/>
        <v>1</v>
      </c>
    </row>
    <row r="10" spans="1:10">
      <c r="A10" s="2" t="str">
        <f>"408510017"</f>
        <v>408510017</v>
      </c>
      <c r="B10" s="2" t="s">
        <v>1922</v>
      </c>
      <c r="C10" s="2">
        <v>1</v>
      </c>
      <c r="J10" s="2">
        <f t="shared" si="0"/>
        <v>1</v>
      </c>
    </row>
    <row r="11" spans="1:10">
      <c r="A11" s="2" t="str">
        <f>"408510019"</f>
        <v>408510019</v>
      </c>
      <c r="B11" s="2" t="s">
        <v>1923</v>
      </c>
      <c r="C11" s="2">
        <v>1</v>
      </c>
      <c r="J11" s="2">
        <f t="shared" si="0"/>
        <v>1</v>
      </c>
    </row>
    <row r="12" spans="1:10">
      <c r="A12" s="2" t="str">
        <f>"408510021"</f>
        <v>408510021</v>
      </c>
      <c r="B12" s="2" t="s">
        <v>1924</v>
      </c>
      <c r="J12" s="2">
        <f t="shared" si="0"/>
        <v>0</v>
      </c>
    </row>
    <row r="13" spans="1:10">
      <c r="A13" s="2" t="str">
        <f>"408510025"</f>
        <v>408510025</v>
      </c>
      <c r="B13" s="2" t="s">
        <v>1925</v>
      </c>
      <c r="C13" s="2">
        <v>1</v>
      </c>
      <c r="J13" s="2">
        <f t="shared" si="0"/>
        <v>1</v>
      </c>
    </row>
    <row r="14" spans="1:10">
      <c r="A14" s="2" t="str">
        <f>"408510029"</f>
        <v>408510029</v>
      </c>
      <c r="B14" s="2" t="s">
        <v>1926</v>
      </c>
      <c r="C14" s="2">
        <v>1</v>
      </c>
      <c r="J14" s="2">
        <f t="shared" si="0"/>
        <v>1</v>
      </c>
    </row>
    <row r="15" spans="1:10">
      <c r="A15" s="2" t="str">
        <f>"408510031"</f>
        <v>408510031</v>
      </c>
      <c r="B15" s="2" t="s">
        <v>1927</v>
      </c>
      <c r="J15" s="2">
        <f t="shared" si="0"/>
        <v>0</v>
      </c>
    </row>
    <row r="16" spans="1:10">
      <c r="A16" s="2" t="str">
        <f>"408510033"</f>
        <v>408510033</v>
      </c>
      <c r="B16" s="2" t="s">
        <v>1928</v>
      </c>
      <c r="J16" s="2">
        <f t="shared" si="0"/>
        <v>0</v>
      </c>
    </row>
    <row r="17" spans="1:10">
      <c r="A17" s="2" t="str">
        <f>"408510035"</f>
        <v>408510035</v>
      </c>
      <c r="B17" s="2" t="s">
        <v>1929</v>
      </c>
      <c r="J17" s="2">
        <f t="shared" si="0"/>
        <v>0</v>
      </c>
    </row>
    <row r="18" spans="1:10">
      <c r="A18" s="2" t="str">
        <f>"408510037"</f>
        <v>408510037</v>
      </c>
      <c r="B18" s="2" t="s">
        <v>1930</v>
      </c>
      <c r="C18" s="2">
        <v>1</v>
      </c>
      <c r="J18" s="2">
        <f t="shared" si="0"/>
        <v>1</v>
      </c>
    </row>
    <row r="19" spans="1:10">
      <c r="A19" s="2" t="str">
        <f>"408510041"</f>
        <v>408510041</v>
      </c>
      <c r="B19" s="2" t="s">
        <v>1931</v>
      </c>
      <c r="C19" s="2">
        <v>1</v>
      </c>
      <c r="J19" s="2">
        <f t="shared" si="0"/>
        <v>1</v>
      </c>
    </row>
    <row r="20" spans="1:10">
      <c r="A20" s="2" t="str">
        <f>"408510043"</f>
        <v>408510043</v>
      </c>
      <c r="B20" s="2" t="s">
        <v>1932</v>
      </c>
      <c r="J20" s="2">
        <f t="shared" si="0"/>
        <v>0</v>
      </c>
    </row>
    <row r="21" spans="1:10">
      <c r="A21" s="2" t="str">
        <f>"408510045"</f>
        <v>408510045</v>
      </c>
      <c r="B21" s="2" t="s">
        <v>1933</v>
      </c>
      <c r="C21" s="2">
        <v>1</v>
      </c>
      <c r="J21" s="2">
        <f t="shared" si="0"/>
        <v>1</v>
      </c>
    </row>
    <row r="22" spans="1:10">
      <c r="A22" s="2" t="str">
        <f>"408510047"</f>
        <v>408510047</v>
      </c>
      <c r="B22" s="2" t="s">
        <v>1934</v>
      </c>
      <c r="J22" s="2">
        <f t="shared" si="0"/>
        <v>0</v>
      </c>
    </row>
    <row r="23" spans="1:10">
      <c r="A23" s="2" t="str">
        <f>"408510049"</f>
        <v>408510049</v>
      </c>
      <c r="B23" s="2" t="s">
        <v>1935</v>
      </c>
      <c r="J23" s="2">
        <f t="shared" si="0"/>
        <v>0</v>
      </c>
    </row>
    <row r="24" spans="1:10">
      <c r="A24" s="2" t="str">
        <f>"408510051"</f>
        <v>408510051</v>
      </c>
      <c r="B24" s="2" t="s">
        <v>1936</v>
      </c>
      <c r="J24" s="2">
        <f t="shared" si="0"/>
        <v>0</v>
      </c>
    </row>
    <row r="25" spans="1:10">
      <c r="A25" s="2" t="str">
        <f>"408510053"</f>
        <v>408510053</v>
      </c>
      <c r="B25" s="2" t="s">
        <v>1937</v>
      </c>
      <c r="C25" s="2">
        <v>1</v>
      </c>
      <c r="J25" s="2">
        <f t="shared" si="0"/>
        <v>1</v>
      </c>
    </row>
    <row r="26" spans="1:10">
      <c r="A26" s="2" t="str">
        <f>"408510055"</f>
        <v>408510055</v>
      </c>
      <c r="B26" s="2" t="s">
        <v>1938</v>
      </c>
      <c r="J26" s="2">
        <f t="shared" si="0"/>
        <v>0</v>
      </c>
    </row>
    <row r="27" spans="1:10">
      <c r="A27" s="2" t="str">
        <f>"408510057"</f>
        <v>408510057</v>
      </c>
      <c r="B27" s="2" t="s">
        <v>1939</v>
      </c>
      <c r="C27" s="2">
        <v>1</v>
      </c>
      <c r="J27" s="2">
        <f t="shared" si="0"/>
        <v>1</v>
      </c>
    </row>
    <row r="28" spans="1:10">
      <c r="A28" s="2" t="str">
        <f>"408510059"</f>
        <v>408510059</v>
      </c>
      <c r="B28" s="2" t="s">
        <v>1940</v>
      </c>
      <c r="J28" s="2">
        <f t="shared" si="0"/>
        <v>0</v>
      </c>
    </row>
    <row r="29" spans="1:10">
      <c r="A29" s="2" t="str">
        <f>"408510061"</f>
        <v>408510061</v>
      </c>
      <c r="B29" s="2" t="s">
        <v>1941</v>
      </c>
      <c r="J29" s="2">
        <f t="shared" si="0"/>
        <v>0</v>
      </c>
    </row>
    <row r="30" spans="1:10">
      <c r="A30" s="2" t="str">
        <f>"408510063"</f>
        <v>408510063</v>
      </c>
      <c r="B30" s="2" t="s">
        <v>1942</v>
      </c>
      <c r="J30" s="2">
        <f t="shared" si="0"/>
        <v>0</v>
      </c>
    </row>
    <row r="31" spans="1:10">
      <c r="A31" s="2" t="str">
        <f>"408510065"</f>
        <v>408510065</v>
      </c>
      <c r="B31" s="2" t="s">
        <v>1943</v>
      </c>
      <c r="J31" s="2">
        <f t="shared" si="0"/>
        <v>0</v>
      </c>
    </row>
    <row r="32" spans="1:10">
      <c r="A32" s="2" t="str">
        <f>"408510067"</f>
        <v>408510067</v>
      </c>
      <c r="B32" s="2" t="s">
        <v>1944</v>
      </c>
      <c r="J32" s="2">
        <f t="shared" si="0"/>
        <v>0</v>
      </c>
    </row>
    <row r="33" spans="1:10">
      <c r="A33" s="2" t="str">
        <f>"408510069"</f>
        <v>408510069</v>
      </c>
      <c r="B33" s="2" t="s">
        <v>1945</v>
      </c>
      <c r="C33" s="2">
        <v>1</v>
      </c>
      <c r="J33" s="2">
        <f t="shared" si="0"/>
        <v>1</v>
      </c>
    </row>
    <row r="34" spans="1:10">
      <c r="A34" s="2" t="str">
        <f>"408510071"</f>
        <v>408510071</v>
      </c>
      <c r="B34" s="2" t="s">
        <v>1946</v>
      </c>
      <c r="C34" s="2">
        <v>1</v>
      </c>
      <c r="J34" s="2">
        <f t="shared" si="0"/>
        <v>1</v>
      </c>
    </row>
    <row r="35" spans="1:10">
      <c r="A35" s="2" t="str">
        <f>"408510073"</f>
        <v>408510073</v>
      </c>
      <c r="B35" s="2" t="s">
        <v>1947</v>
      </c>
      <c r="C35" s="2">
        <v>1</v>
      </c>
      <c r="J35" s="2">
        <f t="shared" si="0"/>
        <v>1</v>
      </c>
    </row>
    <row r="36" spans="1:10">
      <c r="A36" s="2" t="str">
        <f>"408510075"</f>
        <v>408510075</v>
      </c>
      <c r="B36" s="2" t="s">
        <v>1948</v>
      </c>
      <c r="C36" s="2">
        <v>1</v>
      </c>
      <c r="J36" s="2">
        <f t="shared" si="0"/>
        <v>1</v>
      </c>
    </row>
    <row r="37" spans="1:10">
      <c r="A37" s="2" t="str">
        <f>"408510079"</f>
        <v>408510079</v>
      </c>
      <c r="B37" s="2" t="s">
        <v>1949</v>
      </c>
      <c r="C37" s="2">
        <v>1</v>
      </c>
      <c r="J37" s="2">
        <f t="shared" si="0"/>
        <v>1</v>
      </c>
    </row>
    <row r="38" spans="1:10">
      <c r="A38" s="2" t="str">
        <f>"408510081"</f>
        <v>408510081</v>
      </c>
      <c r="B38" s="2" t="s">
        <v>1950</v>
      </c>
      <c r="J38" s="2">
        <f t="shared" si="0"/>
        <v>0</v>
      </c>
    </row>
    <row r="39" spans="1:10">
      <c r="A39" s="2" t="str">
        <f>"408510083"</f>
        <v>408510083</v>
      </c>
      <c r="B39" s="2" t="s">
        <v>1951</v>
      </c>
      <c r="J39" s="2">
        <f t="shared" si="0"/>
        <v>0</v>
      </c>
    </row>
    <row r="40" spans="1:10">
      <c r="A40" s="2" t="str">
        <f>"408510085"</f>
        <v>408510085</v>
      </c>
      <c r="B40" s="2" t="s">
        <v>1952</v>
      </c>
      <c r="J40" s="2">
        <f t="shared" si="0"/>
        <v>0</v>
      </c>
    </row>
    <row r="41" spans="1:10">
      <c r="A41" s="2" t="str">
        <f>"408510087"</f>
        <v>408510087</v>
      </c>
      <c r="B41" s="2" t="s">
        <v>1953</v>
      </c>
      <c r="C41" s="2">
        <v>1</v>
      </c>
      <c r="J41" s="2">
        <f t="shared" si="0"/>
        <v>1</v>
      </c>
    </row>
    <row r="42" spans="1:10">
      <c r="A42" s="2" t="str">
        <f>"408510089"</f>
        <v>408510089</v>
      </c>
      <c r="B42" s="2" t="s">
        <v>1954</v>
      </c>
      <c r="C42" s="2">
        <v>1</v>
      </c>
      <c r="J42" s="2">
        <f t="shared" si="0"/>
        <v>1</v>
      </c>
    </row>
    <row r="43" spans="1:10">
      <c r="A43" s="2" t="str">
        <f>"408510091"</f>
        <v>408510091</v>
      </c>
      <c r="B43" s="2" t="s">
        <v>1955</v>
      </c>
      <c r="C43" s="2">
        <v>1</v>
      </c>
      <c r="J43" s="2">
        <f t="shared" si="0"/>
        <v>1</v>
      </c>
    </row>
    <row r="44" spans="1:10">
      <c r="A44" s="2" t="str">
        <f>"408510095"</f>
        <v>408510095</v>
      </c>
      <c r="B44" s="2" t="s">
        <v>1956</v>
      </c>
      <c r="C44" s="2">
        <v>1</v>
      </c>
      <c r="J44" s="2">
        <f t="shared" si="0"/>
        <v>1</v>
      </c>
    </row>
    <row r="45" spans="1:10">
      <c r="A45" s="2" t="str">
        <f>"408510097"</f>
        <v>408510097</v>
      </c>
      <c r="B45" s="2" t="s">
        <v>1957</v>
      </c>
      <c r="J45" s="2">
        <f t="shared" si="0"/>
        <v>0</v>
      </c>
    </row>
    <row r="46" spans="1:10">
      <c r="A46" s="2" t="str">
        <f>"407510080"</f>
        <v>407510080</v>
      </c>
      <c r="B46" s="2" t="s">
        <v>1958</v>
      </c>
      <c r="J46" s="2">
        <f t="shared" si="0"/>
        <v>0</v>
      </c>
    </row>
    <row r="47" spans="1:10">
      <c r="A47" s="2" t="str">
        <f>"408510002"</f>
        <v>408510002</v>
      </c>
      <c r="B47" s="2" t="s">
        <v>1959</v>
      </c>
      <c r="J47" s="2">
        <f t="shared" si="0"/>
        <v>0</v>
      </c>
    </row>
    <row r="48" spans="1:10">
      <c r="A48" s="2" t="str">
        <f>"408510004"</f>
        <v>408510004</v>
      </c>
      <c r="B48" s="2" t="s">
        <v>1960</v>
      </c>
      <c r="J48" s="2">
        <f t="shared" si="0"/>
        <v>0</v>
      </c>
    </row>
    <row r="49" spans="1:10">
      <c r="A49" s="2" t="str">
        <f>"408510006"</f>
        <v>408510006</v>
      </c>
      <c r="B49" s="2" t="s">
        <v>1961</v>
      </c>
      <c r="C49" s="2">
        <v>1</v>
      </c>
      <c r="J49" s="2">
        <f t="shared" si="0"/>
        <v>1</v>
      </c>
    </row>
    <row r="50" spans="1:10">
      <c r="A50" s="2" t="str">
        <f>"408510008"</f>
        <v>408510008</v>
      </c>
      <c r="B50" s="2" t="s">
        <v>1962</v>
      </c>
      <c r="J50" s="2">
        <f t="shared" si="0"/>
        <v>0</v>
      </c>
    </row>
    <row r="51" spans="1:10">
      <c r="A51" s="2" t="str">
        <f>"408510010"</f>
        <v>408510010</v>
      </c>
      <c r="B51" s="2" t="s">
        <v>1963</v>
      </c>
      <c r="C51" s="2">
        <v>1</v>
      </c>
      <c r="J51" s="2">
        <f t="shared" si="0"/>
        <v>1</v>
      </c>
    </row>
    <row r="52" spans="1:10">
      <c r="A52" s="2" t="str">
        <f>"408510012"</f>
        <v>408510012</v>
      </c>
      <c r="B52" s="2" t="s">
        <v>1964</v>
      </c>
      <c r="C52" s="2">
        <v>1</v>
      </c>
      <c r="J52" s="2">
        <f t="shared" si="0"/>
        <v>1</v>
      </c>
    </row>
    <row r="53" spans="1:10">
      <c r="A53" s="2" t="str">
        <f>"408510014"</f>
        <v>408510014</v>
      </c>
      <c r="B53" s="2" t="s">
        <v>1965</v>
      </c>
      <c r="J53" s="2">
        <f t="shared" si="0"/>
        <v>0</v>
      </c>
    </row>
    <row r="54" spans="1:10">
      <c r="A54" s="2" t="str">
        <f>"408510016"</f>
        <v>408510016</v>
      </c>
      <c r="B54" s="2" t="s">
        <v>1966</v>
      </c>
      <c r="C54" s="2">
        <v>1</v>
      </c>
      <c r="J54" s="2">
        <f t="shared" si="0"/>
        <v>1</v>
      </c>
    </row>
    <row r="55" spans="1:10">
      <c r="A55" s="2" t="str">
        <f>"408510018"</f>
        <v>408510018</v>
      </c>
      <c r="B55" s="2" t="s">
        <v>1967</v>
      </c>
      <c r="C55" s="2">
        <v>1</v>
      </c>
      <c r="J55" s="2">
        <f t="shared" si="0"/>
        <v>1</v>
      </c>
    </row>
    <row r="56" spans="1:10">
      <c r="A56" s="2" t="str">
        <f>"408510020"</f>
        <v>408510020</v>
      </c>
      <c r="B56" s="2" t="s">
        <v>1968</v>
      </c>
      <c r="J56" s="2">
        <f t="shared" si="0"/>
        <v>0</v>
      </c>
    </row>
    <row r="57" spans="1:10">
      <c r="A57" s="2" t="str">
        <f>"408510022"</f>
        <v>408510022</v>
      </c>
      <c r="B57" s="2" t="s">
        <v>1969</v>
      </c>
      <c r="J57" s="2">
        <f t="shared" si="0"/>
        <v>0</v>
      </c>
    </row>
    <row r="58" spans="1:10">
      <c r="A58" s="2" t="str">
        <f>"408510024"</f>
        <v>408510024</v>
      </c>
      <c r="B58" s="2" t="s">
        <v>1970</v>
      </c>
      <c r="C58" s="2">
        <v>1</v>
      </c>
      <c r="J58" s="2">
        <f t="shared" si="0"/>
        <v>1</v>
      </c>
    </row>
    <row r="59" spans="1:10">
      <c r="A59" s="2" t="str">
        <f>"408510026"</f>
        <v>408510026</v>
      </c>
      <c r="B59" s="2" t="s">
        <v>1971</v>
      </c>
      <c r="J59" s="2">
        <f t="shared" si="0"/>
        <v>0</v>
      </c>
    </row>
    <row r="60" spans="1:10">
      <c r="A60" s="2" t="str">
        <f>"408510028"</f>
        <v>408510028</v>
      </c>
      <c r="B60" s="2" t="s">
        <v>1972</v>
      </c>
      <c r="J60" s="2">
        <f t="shared" si="0"/>
        <v>0</v>
      </c>
    </row>
    <row r="61" spans="1:10">
      <c r="A61" s="2" t="str">
        <f>"408510030"</f>
        <v>408510030</v>
      </c>
      <c r="B61" s="2" t="s">
        <v>1973</v>
      </c>
      <c r="J61" s="2">
        <f t="shared" si="0"/>
        <v>0</v>
      </c>
    </row>
    <row r="62" spans="1:10">
      <c r="A62" s="2" t="str">
        <f>"408510032"</f>
        <v>408510032</v>
      </c>
      <c r="B62" s="2" t="s">
        <v>1974</v>
      </c>
      <c r="C62" s="2">
        <v>1</v>
      </c>
      <c r="J62" s="2">
        <f t="shared" si="0"/>
        <v>1</v>
      </c>
    </row>
    <row r="63" spans="1:10">
      <c r="A63" s="2" t="str">
        <f>"408510034"</f>
        <v>408510034</v>
      </c>
      <c r="B63" s="2" t="s">
        <v>1975</v>
      </c>
      <c r="J63" s="2">
        <f t="shared" si="0"/>
        <v>0</v>
      </c>
    </row>
    <row r="64" spans="1:10">
      <c r="A64" s="2" t="str">
        <f>"408510036"</f>
        <v>408510036</v>
      </c>
      <c r="B64" s="2" t="s">
        <v>1976</v>
      </c>
      <c r="C64" s="2">
        <v>1</v>
      </c>
      <c r="J64" s="2">
        <f t="shared" si="0"/>
        <v>1</v>
      </c>
    </row>
    <row r="65" spans="1:10">
      <c r="A65" s="2" t="str">
        <f>"408510038"</f>
        <v>408510038</v>
      </c>
      <c r="B65" s="2" t="s">
        <v>1977</v>
      </c>
      <c r="J65" s="2">
        <f t="shared" si="0"/>
        <v>0</v>
      </c>
    </row>
    <row r="66" spans="1:10">
      <c r="A66" s="2" t="str">
        <f>"408510040"</f>
        <v>408510040</v>
      </c>
      <c r="B66" s="2" t="s">
        <v>1978</v>
      </c>
      <c r="J66" s="2">
        <f t="shared" si="0"/>
        <v>0</v>
      </c>
    </row>
    <row r="67" spans="1:10">
      <c r="A67" s="2" t="str">
        <f>"408510042"</f>
        <v>408510042</v>
      </c>
      <c r="B67" s="2" t="s">
        <v>1979</v>
      </c>
      <c r="C67" s="2">
        <v>1</v>
      </c>
      <c r="J67" s="2">
        <f t="shared" si="0"/>
        <v>1</v>
      </c>
    </row>
    <row r="68" spans="1:10">
      <c r="A68" s="2" t="str">
        <f>"408510044"</f>
        <v>408510044</v>
      </c>
      <c r="B68" s="2" t="s">
        <v>1980</v>
      </c>
      <c r="C68" s="2">
        <v>1</v>
      </c>
      <c r="J68" s="2">
        <f t="shared" ref="J68:J94" si="1">SUM(C68:I68)</f>
        <v>1</v>
      </c>
    </row>
    <row r="69" spans="1:10">
      <c r="A69" s="2" t="str">
        <f>"408510046"</f>
        <v>408510046</v>
      </c>
      <c r="B69" s="2" t="s">
        <v>1981</v>
      </c>
      <c r="C69" s="2">
        <v>1</v>
      </c>
      <c r="J69" s="2">
        <f t="shared" si="1"/>
        <v>1</v>
      </c>
    </row>
    <row r="70" spans="1:10">
      <c r="A70" s="2" t="str">
        <f>"408510048"</f>
        <v>408510048</v>
      </c>
      <c r="B70" s="2" t="s">
        <v>1982</v>
      </c>
      <c r="C70" s="2">
        <v>1</v>
      </c>
      <c r="J70" s="2">
        <f t="shared" si="1"/>
        <v>1</v>
      </c>
    </row>
    <row r="71" spans="1:10">
      <c r="A71" s="2" t="str">
        <f>"408510050"</f>
        <v>408510050</v>
      </c>
      <c r="B71" s="2" t="s">
        <v>1983</v>
      </c>
      <c r="C71" s="2">
        <v>1</v>
      </c>
      <c r="J71" s="2">
        <f t="shared" si="1"/>
        <v>1</v>
      </c>
    </row>
    <row r="72" spans="1:10">
      <c r="A72" s="2" t="str">
        <f>"408510052"</f>
        <v>408510052</v>
      </c>
      <c r="B72" s="2" t="s">
        <v>1984</v>
      </c>
      <c r="J72" s="2">
        <f t="shared" si="1"/>
        <v>0</v>
      </c>
    </row>
    <row r="73" spans="1:10">
      <c r="A73" s="2" t="str">
        <f>"408510054"</f>
        <v>408510054</v>
      </c>
      <c r="B73" s="2" t="s">
        <v>1985</v>
      </c>
      <c r="C73" s="2">
        <v>1</v>
      </c>
      <c r="J73" s="2">
        <f t="shared" si="1"/>
        <v>1</v>
      </c>
    </row>
    <row r="74" spans="1:10">
      <c r="A74" s="2" t="str">
        <f>"408510062"</f>
        <v>408510062</v>
      </c>
      <c r="B74" s="2" t="s">
        <v>1986</v>
      </c>
      <c r="C74" s="2">
        <v>1</v>
      </c>
      <c r="J74" s="2">
        <f t="shared" si="1"/>
        <v>1</v>
      </c>
    </row>
    <row r="75" spans="1:10">
      <c r="A75" s="2" t="str">
        <f>"408510064"</f>
        <v>408510064</v>
      </c>
      <c r="B75" s="2" t="s">
        <v>1987</v>
      </c>
      <c r="J75" s="2">
        <f t="shared" si="1"/>
        <v>0</v>
      </c>
    </row>
    <row r="76" spans="1:10">
      <c r="A76" s="2" t="str">
        <f>"408510066"</f>
        <v>408510066</v>
      </c>
      <c r="B76" s="2" t="s">
        <v>1988</v>
      </c>
      <c r="J76" s="2">
        <f t="shared" si="1"/>
        <v>0</v>
      </c>
    </row>
    <row r="77" spans="1:10">
      <c r="A77" s="2" t="str">
        <f>"408510068"</f>
        <v>408510068</v>
      </c>
      <c r="B77" s="2" t="s">
        <v>1989</v>
      </c>
      <c r="C77" s="2">
        <v>1</v>
      </c>
      <c r="J77" s="2">
        <f t="shared" si="1"/>
        <v>1</v>
      </c>
    </row>
    <row r="78" spans="1:10">
      <c r="A78" s="2" t="str">
        <f>"408510070"</f>
        <v>408510070</v>
      </c>
      <c r="B78" s="2" t="s">
        <v>1990</v>
      </c>
      <c r="J78" s="2">
        <f t="shared" si="1"/>
        <v>0</v>
      </c>
    </row>
    <row r="79" spans="1:10">
      <c r="A79" s="2" t="str">
        <f>"408510072"</f>
        <v>408510072</v>
      </c>
      <c r="B79" s="2" t="s">
        <v>1991</v>
      </c>
      <c r="C79" s="2">
        <v>1</v>
      </c>
      <c r="J79" s="2">
        <f t="shared" si="1"/>
        <v>1</v>
      </c>
    </row>
    <row r="80" spans="1:10">
      <c r="A80" s="2" t="str">
        <f>"408510074"</f>
        <v>408510074</v>
      </c>
      <c r="B80" s="2" t="s">
        <v>1992</v>
      </c>
      <c r="J80" s="2">
        <f t="shared" si="1"/>
        <v>0</v>
      </c>
    </row>
    <row r="81" spans="1:10">
      <c r="A81" s="2" t="str">
        <f>"408510078"</f>
        <v>408510078</v>
      </c>
      <c r="B81" s="2" t="s">
        <v>1993</v>
      </c>
      <c r="J81" s="2">
        <f t="shared" si="1"/>
        <v>0</v>
      </c>
    </row>
    <row r="82" spans="1:10">
      <c r="A82" s="2" t="str">
        <f>"408510080"</f>
        <v>408510080</v>
      </c>
      <c r="B82" s="2" t="s">
        <v>1994</v>
      </c>
      <c r="J82" s="2">
        <f t="shared" si="1"/>
        <v>0</v>
      </c>
    </row>
    <row r="83" spans="1:10">
      <c r="A83" s="2" t="str">
        <f>"408510082"</f>
        <v>408510082</v>
      </c>
      <c r="B83" s="2" t="s">
        <v>1995</v>
      </c>
      <c r="J83" s="2">
        <f t="shared" si="1"/>
        <v>0</v>
      </c>
    </row>
    <row r="84" spans="1:10">
      <c r="A84" s="2" t="str">
        <f>"408510086"</f>
        <v>408510086</v>
      </c>
      <c r="B84" s="2" t="s">
        <v>1996</v>
      </c>
      <c r="J84" s="2">
        <f t="shared" si="1"/>
        <v>0</v>
      </c>
    </row>
    <row r="85" spans="1:10">
      <c r="A85" s="2" t="str">
        <f>"408510088"</f>
        <v>408510088</v>
      </c>
      <c r="B85" s="2" t="s">
        <v>1997</v>
      </c>
      <c r="J85" s="2">
        <f t="shared" si="1"/>
        <v>0</v>
      </c>
    </row>
    <row r="86" spans="1:10">
      <c r="A86" s="2" t="str">
        <f>"408510090"</f>
        <v>408510090</v>
      </c>
      <c r="B86" s="2" t="s">
        <v>1998</v>
      </c>
      <c r="J86" s="2">
        <f t="shared" si="1"/>
        <v>0</v>
      </c>
    </row>
    <row r="87" spans="1:10">
      <c r="A87" s="2" t="str">
        <f>"408510092"</f>
        <v>408510092</v>
      </c>
      <c r="B87" s="2" t="s">
        <v>1999</v>
      </c>
      <c r="C87" s="2">
        <v>1</v>
      </c>
      <c r="J87" s="2">
        <f t="shared" si="1"/>
        <v>1</v>
      </c>
    </row>
    <row r="88" spans="1:10">
      <c r="A88" s="2" t="str">
        <f>"408510094"</f>
        <v>408510094</v>
      </c>
      <c r="B88" s="2" t="s">
        <v>2000</v>
      </c>
      <c r="J88" s="2">
        <f t="shared" si="1"/>
        <v>0</v>
      </c>
    </row>
    <row r="89" spans="1:10">
      <c r="A89" s="2" t="str">
        <f>"408510096"</f>
        <v>408510096</v>
      </c>
      <c r="B89" s="2" t="s">
        <v>2001</v>
      </c>
      <c r="J89" s="2">
        <f t="shared" si="1"/>
        <v>0</v>
      </c>
    </row>
    <row r="90" spans="1:10">
      <c r="A90" s="2" t="str">
        <f>"408510098"</f>
        <v>408510098</v>
      </c>
      <c r="B90" s="2" t="s">
        <v>2002</v>
      </c>
      <c r="J90" s="2">
        <f t="shared" si="1"/>
        <v>0</v>
      </c>
    </row>
    <row r="91" spans="1:10">
      <c r="A91" s="2" t="str">
        <f>"408510100"</f>
        <v>408510100</v>
      </c>
      <c r="B91" s="2" t="s">
        <v>2003</v>
      </c>
      <c r="J91" s="2">
        <f t="shared" si="1"/>
        <v>0</v>
      </c>
    </row>
    <row r="92" spans="1:10">
      <c r="A92" s="2" t="str">
        <f>"408510102"</f>
        <v>408510102</v>
      </c>
      <c r="B92" s="2" t="s">
        <v>2004</v>
      </c>
      <c r="J92" s="2">
        <f t="shared" si="1"/>
        <v>0</v>
      </c>
    </row>
    <row r="93" spans="1:10">
      <c r="A93" s="2" t="str">
        <f>"408510104"</f>
        <v>408510104</v>
      </c>
      <c r="B93" s="2" t="s">
        <v>2005</v>
      </c>
      <c r="J93" s="2">
        <f t="shared" si="1"/>
        <v>0</v>
      </c>
    </row>
    <row r="94" spans="1:10">
      <c r="J94" s="2">
        <f t="shared" si="1"/>
        <v>0</v>
      </c>
    </row>
    <row r="99" spans="1:3">
      <c r="B99" s="2" t="s">
        <v>2006</v>
      </c>
      <c r="C99" s="2">
        <f>MEDIAN(J3:J97)</f>
        <v>0</v>
      </c>
    </row>
    <row r="102" spans="1:3">
      <c r="A102" s="2" t="s">
        <v>2007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37" workbookViewId="0">
      <selection activeCell="C126" sqref="C126"/>
    </sheetView>
  </sheetViews>
  <sheetFormatPr defaultRowHeight="16.2"/>
  <cols>
    <col min="1" max="1" width="13.21875" style="2" customWidth="1"/>
    <col min="2" max="2" width="10.44140625" style="2" bestFit="1" customWidth="1"/>
    <col min="3" max="10" width="8.88671875" style="2"/>
  </cols>
  <sheetData>
    <row r="1" spans="1:14">
      <c r="A1" s="4" t="s">
        <v>1911</v>
      </c>
      <c r="B1" s="4"/>
      <c r="C1" s="86">
        <f>MAX(J2:J125)</f>
        <v>2</v>
      </c>
      <c r="G1" s="45"/>
      <c r="J1" s="85"/>
    </row>
    <row r="2" spans="1:14">
      <c r="A2" s="104" t="s">
        <v>1912</v>
      </c>
      <c r="B2" s="104" t="s">
        <v>1913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108" t="s">
        <v>1914</v>
      </c>
      <c r="K2" s="7"/>
      <c r="L2" s="7"/>
      <c r="M2" s="7"/>
      <c r="N2" s="7"/>
    </row>
    <row r="3" spans="1:14">
      <c r="A3" s="100">
        <v>407110046</v>
      </c>
      <c r="B3" s="100" t="s">
        <v>2123</v>
      </c>
      <c r="J3" s="2">
        <f t="shared" ref="J3:J34" si="0">SUM(C3:I3)</f>
        <v>0</v>
      </c>
    </row>
    <row r="4" spans="1:14">
      <c r="A4" s="100">
        <v>407310035</v>
      </c>
      <c r="B4" s="100" t="s">
        <v>2122</v>
      </c>
      <c r="J4" s="2">
        <f t="shared" si="0"/>
        <v>0</v>
      </c>
    </row>
    <row r="5" spans="1:14">
      <c r="A5" s="2" t="str">
        <f>"406510001"</f>
        <v>406510001</v>
      </c>
      <c r="B5" s="2" t="s">
        <v>2008</v>
      </c>
      <c r="J5" s="2">
        <f t="shared" si="0"/>
        <v>0</v>
      </c>
    </row>
    <row r="6" spans="1:14">
      <c r="A6" s="2" t="str">
        <f>"406510020"</f>
        <v>406510020</v>
      </c>
      <c r="B6" s="2" t="s">
        <v>2066</v>
      </c>
      <c r="J6" s="2">
        <f t="shared" si="0"/>
        <v>0</v>
      </c>
    </row>
    <row r="7" spans="1:14">
      <c r="A7" s="2" t="str">
        <f>"406510024"</f>
        <v>406510024</v>
      </c>
      <c r="B7" s="2" t="s">
        <v>2067</v>
      </c>
      <c r="J7" s="2">
        <f t="shared" si="0"/>
        <v>0</v>
      </c>
    </row>
    <row r="8" spans="1:14">
      <c r="A8" s="2" t="str">
        <f>"406510033"</f>
        <v>406510033</v>
      </c>
      <c r="B8" s="2" t="s">
        <v>2009</v>
      </c>
      <c r="J8" s="2">
        <f t="shared" si="0"/>
        <v>0</v>
      </c>
    </row>
    <row r="9" spans="1:14">
      <c r="A9" s="2" t="str">
        <f>"406510034"</f>
        <v>406510034</v>
      </c>
      <c r="B9" s="2" t="s">
        <v>2068</v>
      </c>
      <c r="J9" s="2">
        <f t="shared" si="0"/>
        <v>0</v>
      </c>
    </row>
    <row r="10" spans="1:14">
      <c r="A10" s="2" t="str">
        <f>"406510037"</f>
        <v>406510037</v>
      </c>
      <c r="B10" s="2" t="s">
        <v>2010</v>
      </c>
      <c r="J10" s="2">
        <f t="shared" si="0"/>
        <v>0</v>
      </c>
    </row>
    <row r="11" spans="1:14">
      <c r="A11" s="2" t="str">
        <f>"406510038"</f>
        <v>406510038</v>
      </c>
      <c r="B11" s="2" t="s">
        <v>2069</v>
      </c>
      <c r="J11" s="2">
        <f t="shared" si="0"/>
        <v>0</v>
      </c>
    </row>
    <row r="12" spans="1:14">
      <c r="A12" s="2" t="str">
        <f>"406510045"</f>
        <v>406510045</v>
      </c>
      <c r="B12" s="2" t="s">
        <v>2011</v>
      </c>
      <c r="J12" s="2">
        <f t="shared" si="0"/>
        <v>0</v>
      </c>
    </row>
    <row r="13" spans="1:14">
      <c r="A13" s="2" t="str">
        <f>"406510072"</f>
        <v>406510072</v>
      </c>
      <c r="B13" s="2" t="s">
        <v>2070</v>
      </c>
      <c r="J13" s="2">
        <f t="shared" si="0"/>
        <v>0</v>
      </c>
    </row>
    <row r="14" spans="1:14">
      <c r="A14" s="2" t="str">
        <f>"406510075"</f>
        <v>406510075</v>
      </c>
      <c r="B14" s="2" t="s">
        <v>2012</v>
      </c>
      <c r="J14" s="2">
        <f t="shared" si="0"/>
        <v>0</v>
      </c>
    </row>
    <row r="15" spans="1:14">
      <c r="A15" s="2" t="str">
        <f>"406510077"</f>
        <v>406510077</v>
      </c>
      <c r="B15" s="2" t="s">
        <v>2013</v>
      </c>
      <c r="J15" s="2">
        <f t="shared" si="0"/>
        <v>0</v>
      </c>
    </row>
    <row r="16" spans="1:14">
      <c r="A16" s="2" t="str">
        <f>"407510001"</f>
        <v>407510001</v>
      </c>
      <c r="B16" s="2" t="s">
        <v>2014</v>
      </c>
      <c r="G16" s="2">
        <v>1</v>
      </c>
      <c r="J16" s="2">
        <f t="shared" si="0"/>
        <v>1</v>
      </c>
    </row>
    <row r="17" spans="1:10">
      <c r="A17" s="2" t="str">
        <f>"407510002"</f>
        <v>407510002</v>
      </c>
      <c r="B17" s="2" t="s">
        <v>2071</v>
      </c>
      <c r="J17" s="2">
        <f t="shared" si="0"/>
        <v>0</v>
      </c>
    </row>
    <row r="18" spans="1:10">
      <c r="A18" s="2" t="str">
        <f>"407510003"</f>
        <v>407510003</v>
      </c>
      <c r="B18" s="2" t="s">
        <v>2015</v>
      </c>
      <c r="J18" s="2">
        <f t="shared" si="0"/>
        <v>0</v>
      </c>
    </row>
    <row r="19" spans="1:10">
      <c r="A19" s="2" t="str">
        <f>"407510004"</f>
        <v>407510004</v>
      </c>
      <c r="B19" s="2" t="s">
        <v>2072</v>
      </c>
      <c r="J19" s="2">
        <f t="shared" si="0"/>
        <v>0</v>
      </c>
    </row>
    <row r="20" spans="1:10">
      <c r="A20" s="2" t="str">
        <f>"407510005"</f>
        <v>407510005</v>
      </c>
      <c r="B20" s="2" t="s">
        <v>2016</v>
      </c>
      <c r="G20" s="2">
        <v>1</v>
      </c>
      <c r="J20" s="2">
        <f t="shared" si="0"/>
        <v>1</v>
      </c>
    </row>
    <row r="21" spans="1:10">
      <c r="A21" s="2" t="str">
        <f>"407510006"</f>
        <v>407510006</v>
      </c>
      <c r="B21" s="2" t="s">
        <v>2073</v>
      </c>
      <c r="J21" s="2">
        <f t="shared" si="0"/>
        <v>0</v>
      </c>
    </row>
    <row r="22" spans="1:10">
      <c r="A22" s="2" t="str">
        <f>"407510007"</f>
        <v>407510007</v>
      </c>
      <c r="B22" s="2" t="s">
        <v>2017</v>
      </c>
      <c r="J22" s="2">
        <f t="shared" si="0"/>
        <v>0</v>
      </c>
    </row>
    <row r="23" spans="1:10">
      <c r="A23" s="2" t="str">
        <f>"407510008"</f>
        <v>407510008</v>
      </c>
      <c r="B23" s="2" t="s">
        <v>2074</v>
      </c>
      <c r="G23" s="2">
        <v>1</v>
      </c>
      <c r="J23" s="2">
        <f t="shared" si="0"/>
        <v>1</v>
      </c>
    </row>
    <row r="24" spans="1:10">
      <c r="A24" s="2" t="str">
        <f>"407510009"</f>
        <v>407510009</v>
      </c>
      <c r="B24" s="2" t="s">
        <v>2018</v>
      </c>
      <c r="G24" s="2">
        <v>1</v>
      </c>
      <c r="J24" s="2">
        <f t="shared" si="0"/>
        <v>1</v>
      </c>
    </row>
    <row r="25" spans="1:10">
      <c r="A25" s="2" t="str">
        <f>"407510010"</f>
        <v>407510010</v>
      </c>
      <c r="B25" s="2" t="s">
        <v>2075</v>
      </c>
      <c r="C25" s="2">
        <v>1</v>
      </c>
      <c r="J25" s="2">
        <f t="shared" si="0"/>
        <v>1</v>
      </c>
    </row>
    <row r="26" spans="1:10">
      <c r="A26" s="2" t="str">
        <f>"407510011"</f>
        <v>407510011</v>
      </c>
      <c r="B26" s="2" t="s">
        <v>2019</v>
      </c>
      <c r="J26" s="2">
        <f t="shared" si="0"/>
        <v>0</v>
      </c>
    </row>
    <row r="27" spans="1:10">
      <c r="A27" s="2" t="str">
        <f>"407510012"</f>
        <v>407510012</v>
      </c>
      <c r="B27" s="2" t="s">
        <v>2076</v>
      </c>
      <c r="G27" s="2">
        <v>1</v>
      </c>
      <c r="J27" s="2">
        <f t="shared" si="0"/>
        <v>1</v>
      </c>
    </row>
    <row r="28" spans="1:10">
      <c r="A28" s="2" t="str">
        <f>"407510013"</f>
        <v>407510013</v>
      </c>
      <c r="B28" s="2" t="s">
        <v>2020</v>
      </c>
      <c r="J28" s="2">
        <f t="shared" si="0"/>
        <v>0</v>
      </c>
    </row>
    <row r="29" spans="1:10">
      <c r="A29" s="2" t="str">
        <f>"407510014"</f>
        <v>407510014</v>
      </c>
      <c r="B29" s="2" t="s">
        <v>2077</v>
      </c>
      <c r="G29" s="2">
        <v>1</v>
      </c>
      <c r="J29" s="2">
        <f t="shared" si="0"/>
        <v>1</v>
      </c>
    </row>
    <row r="30" spans="1:10">
      <c r="A30" s="2" t="str">
        <f>"407510015"</f>
        <v>407510015</v>
      </c>
      <c r="B30" s="2" t="s">
        <v>2021</v>
      </c>
      <c r="J30" s="2">
        <f t="shared" si="0"/>
        <v>0</v>
      </c>
    </row>
    <row r="31" spans="1:10">
      <c r="A31" s="2" t="str">
        <f>"407510016"</f>
        <v>407510016</v>
      </c>
      <c r="B31" s="2" t="s">
        <v>2078</v>
      </c>
      <c r="G31" s="2">
        <v>1</v>
      </c>
      <c r="J31" s="2">
        <f t="shared" si="0"/>
        <v>1</v>
      </c>
    </row>
    <row r="32" spans="1:10">
      <c r="A32" s="2" t="str">
        <f>"407510017"</f>
        <v>407510017</v>
      </c>
      <c r="B32" s="2" t="s">
        <v>2022</v>
      </c>
      <c r="J32" s="2">
        <f t="shared" si="0"/>
        <v>0</v>
      </c>
    </row>
    <row r="33" spans="1:10">
      <c r="A33" s="2" t="str">
        <f>"407510018"</f>
        <v>407510018</v>
      </c>
      <c r="B33" s="2" t="s">
        <v>2079</v>
      </c>
      <c r="G33" s="2">
        <v>1</v>
      </c>
      <c r="J33" s="2">
        <f t="shared" si="0"/>
        <v>1</v>
      </c>
    </row>
    <row r="34" spans="1:10">
      <c r="A34" s="2" t="str">
        <f>"407510019"</f>
        <v>407510019</v>
      </c>
      <c r="B34" s="2" t="s">
        <v>2023</v>
      </c>
      <c r="J34" s="2">
        <f t="shared" si="0"/>
        <v>0</v>
      </c>
    </row>
    <row r="35" spans="1:10">
      <c r="A35" s="2" t="str">
        <f>"407510020"</f>
        <v>407510020</v>
      </c>
      <c r="B35" s="2" t="s">
        <v>2080</v>
      </c>
      <c r="J35" s="2">
        <f t="shared" ref="J35:J66" si="1">SUM(C35:I35)</f>
        <v>0</v>
      </c>
    </row>
    <row r="36" spans="1:10">
      <c r="A36" s="2" t="str">
        <f>"407510021"</f>
        <v>407510021</v>
      </c>
      <c r="B36" s="2" t="s">
        <v>2024</v>
      </c>
      <c r="J36" s="2">
        <f t="shared" si="1"/>
        <v>0</v>
      </c>
    </row>
    <row r="37" spans="1:10">
      <c r="A37" s="2" t="str">
        <f>"407510022"</f>
        <v>407510022</v>
      </c>
      <c r="B37" s="2" t="s">
        <v>2081</v>
      </c>
      <c r="G37" s="2">
        <v>1</v>
      </c>
      <c r="J37" s="2">
        <f t="shared" si="1"/>
        <v>1</v>
      </c>
    </row>
    <row r="38" spans="1:10">
      <c r="A38" s="2" t="str">
        <f>"407510023"</f>
        <v>407510023</v>
      </c>
      <c r="B38" s="2" t="s">
        <v>2025</v>
      </c>
      <c r="G38" s="2">
        <v>1</v>
      </c>
      <c r="J38" s="2">
        <f t="shared" si="1"/>
        <v>1</v>
      </c>
    </row>
    <row r="39" spans="1:10">
      <c r="A39" s="2" t="str">
        <f>"407510024"</f>
        <v>407510024</v>
      </c>
      <c r="B39" s="2" t="s">
        <v>2082</v>
      </c>
      <c r="C39" s="2">
        <v>1</v>
      </c>
      <c r="J39" s="2">
        <f t="shared" si="1"/>
        <v>1</v>
      </c>
    </row>
    <row r="40" spans="1:10">
      <c r="A40" s="2" t="str">
        <f>"407510025"</f>
        <v>407510025</v>
      </c>
      <c r="B40" s="2" t="s">
        <v>2026</v>
      </c>
      <c r="J40" s="2">
        <f t="shared" si="1"/>
        <v>0</v>
      </c>
    </row>
    <row r="41" spans="1:10">
      <c r="A41" s="2" t="str">
        <f>"407510026"</f>
        <v>407510026</v>
      </c>
      <c r="B41" s="2" t="s">
        <v>2083</v>
      </c>
      <c r="C41" s="2">
        <v>1</v>
      </c>
      <c r="J41" s="2">
        <f t="shared" si="1"/>
        <v>1</v>
      </c>
    </row>
    <row r="42" spans="1:10">
      <c r="A42" s="2" t="str">
        <f>"407510027"</f>
        <v>407510027</v>
      </c>
      <c r="B42" s="2" t="s">
        <v>2027</v>
      </c>
      <c r="G42" s="2">
        <v>1</v>
      </c>
      <c r="J42" s="2">
        <f t="shared" si="1"/>
        <v>1</v>
      </c>
    </row>
    <row r="43" spans="1:10">
      <c r="A43" s="2" t="str">
        <f>"407510028"</f>
        <v>407510028</v>
      </c>
      <c r="B43" s="2" t="s">
        <v>2084</v>
      </c>
      <c r="J43" s="2">
        <f t="shared" si="1"/>
        <v>0</v>
      </c>
    </row>
    <row r="44" spans="1:10">
      <c r="A44" s="2" t="str">
        <f>"407510029"</f>
        <v>407510029</v>
      </c>
      <c r="B44" s="2" t="s">
        <v>2028</v>
      </c>
      <c r="J44" s="2">
        <f t="shared" si="1"/>
        <v>0</v>
      </c>
    </row>
    <row r="45" spans="1:10">
      <c r="A45" s="2" t="str">
        <f>"407510030"</f>
        <v>407510030</v>
      </c>
      <c r="B45" s="2" t="s">
        <v>2085</v>
      </c>
      <c r="C45" s="2">
        <v>1</v>
      </c>
      <c r="J45" s="2">
        <f t="shared" si="1"/>
        <v>1</v>
      </c>
    </row>
    <row r="46" spans="1:10">
      <c r="A46" s="2" t="str">
        <f>"407510031"</f>
        <v>407510031</v>
      </c>
      <c r="B46" s="2" t="s">
        <v>2029</v>
      </c>
      <c r="C46" s="2">
        <v>1</v>
      </c>
      <c r="J46" s="2">
        <f t="shared" si="1"/>
        <v>1</v>
      </c>
    </row>
    <row r="47" spans="1:10">
      <c r="A47" s="2" t="str">
        <f>"407510032"</f>
        <v>407510032</v>
      </c>
      <c r="B47" s="2" t="s">
        <v>2086</v>
      </c>
      <c r="J47" s="2">
        <f t="shared" si="1"/>
        <v>0</v>
      </c>
    </row>
    <row r="48" spans="1:10">
      <c r="A48" s="2" t="str">
        <f>"407510033"</f>
        <v>407510033</v>
      </c>
      <c r="B48" s="2" t="s">
        <v>2030</v>
      </c>
      <c r="J48" s="2">
        <f t="shared" si="1"/>
        <v>0</v>
      </c>
    </row>
    <row r="49" spans="1:10">
      <c r="A49" s="2" t="str">
        <f>"407510034"</f>
        <v>407510034</v>
      </c>
      <c r="B49" s="2" t="s">
        <v>2087</v>
      </c>
      <c r="G49" s="2">
        <v>1</v>
      </c>
      <c r="J49" s="2">
        <f t="shared" si="1"/>
        <v>1</v>
      </c>
    </row>
    <row r="50" spans="1:10">
      <c r="A50" s="2" t="str">
        <f>"407510035"</f>
        <v>407510035</v>
      </c>
      <c r="B50" s="2" t="s">
        <v>2031</v>
      </c>
      <c r="C50" s="2">
        <v>1</v>
      </c>
      <c r="J50" s="2">
        <f t="shared" si="1"/>
        <v>1</v>
      </c>
    </row>
    <row r="51" spans="1:10">
      <c r="A51" s="2" t="str">
        <f>"407510036"</f>
        <v>407510036</v>
      </c>
      <c r="B51" s="2" t="s">
        <v>2088</v>
      </c>
      <c r="J51" s="2">
        <f t="shared" si="1"/>
        <v>0</v>
      </c>
    </row>
    <row r="52" spans="1:10">
      <c r="A52" s="2" t="str">
        <f>"407510037"</f>
        <v>407510037</v>
      </c>
      <c r="B52" s="2" t="s">
        <v>2032</v>
      </c>
      <c r="C52" s="2">
        <v>1</v>
      </c>
      <c r="J52" s="2">
        <f t="shared" si="1"/>
        <v>1</v>
      </c>
    </row>
    <row r="53" spans="1:10">
      <c r="A53" s="2" t="str">
        <f>"407510038"</f>
        <v>407510038</v>
      </c>
      <c r="B53" s="2" t="s">
        <v>2089</v>
      </c>
      <c r="G53" s="2">
        <v>1</v>
      </c>
      <c r="J53" s="2">
        <f t="shared" si="1"/>
        <v>1</v>
      </c>
    </row>
    <row r="54" spans="1:10">
      <c r="A54" s="2" t="str">
        <f>"407510039"</f>
        <v>407510039</v>
      </c>
      <c r="B54" s="2" t="s">
        <v>2033</v>
      </c>
      <c r="J54" s="2">
        <f t="shared" si="1"/>
        <v>0</v>
      </c>
    </row>
    <row r="55" spans="1:10">
      <c r="A55" s="2" t="str">
        <f>"407510040"</f>
        <v>407510040</v>
      </c>
      <c r="B55" s="2" t="s">
        <v>2090</v>
      </c>
      <c r="J55" s="2">
        <f t="shared" si="1"/>
        <v>0</v>
      </c>
    </row>
    <row r="56" spans="1:10">
      <c r="A56" s="2" t="str">
        <f>"407510041"</f>
        <v>407510041</v>
      </c>
      <c r="B56" s="2" t="s">
        <v>2034</v>
      </c>
      <c r="J56" s="2">
        <f t="shared" si="1"/>
        <v>0</v>
      </c>
    </row>
    <row r="57" spans="1:10">
      <c r="A57" s="2" t="str">
        <f>"407510042"</f>
        <v>407510042</v>
      </c>
      <c r="B57" s="2" t="s">
        <v>2091</v>
      </c>
      <c r="J57" s="2">
        <f t="shared" si="1"/>
        <v>0</v>
      </c>
    </row>
    <row r="58" spans="1:10">
      <c r="A58" s="2" t="str">
        <f>"407510043"</f>
        <v>407510043</v>
      </c>
      <c r="B58" s="2" t="s">
        <v>2035</v>
      </c>
      <c r="J58" s="2">
        <f t="shared" si="1"/>
        <v>0</v>
      </c>
    </row>
    <row r="59" spans="1:10">
      <c r="A59" s="2" t="str">
        <f>"407510044"</f>
        <v>407510044</v>
      </c>
      <c r="B59" s="2" t="s">
        <v>2092</v>
      </c>
      <c r="G59" s="2">
        <v>1</v>
      </c>
      <c r="J59" s="2">
        <f t="shared" si="1"/>
        <v>1</v>
      </c>
    </row>
    <row r="60" spans="1:10">
      <c r="A60" s="2" t="str">
        <f>"407510045"</f>
        <v>407510045</v>
      </c>
      <c r="B60" s="2" t="s">
        <v>2036</v>
      </c>
      <c r="J60" s="2">
        <f t="shared" si="1"/>
        <v>0</v>
      </c>
    </row>
    <row r="61" spans="1:10">
      <c r="A61" s="2" t="str">
        <f>"407510046"</f>
        <v>407510046</v>
      </c>
      <c r="B61" s="2" t="s">
        <v>1932</v>
      </c>
      <c r="C61" s="2">
        <v>1</v>
      </c>
      <c r="G61" s="2">
        <v>1</v>
      </c>
      <c r="J61" s="2">
        <f t="shared" si="1"/>
        <v>2</v>
      </c>
    </row>
    <row r="62" spans="1:10">
      <c r="A62" s="2" t="str">
        <f>"407510047"</f>
        <v>407510047</v>
      </c>
      <c r="B62" s="2" t="s">
        <v>2037</v>
      </c>
      <c r="G62" s="2">
        <v>1</v>
      </c>
      <c r="J62" s="2">
        <f t="shared" si="1"/>
        <v>1</v>
      </c>
    </row>
    <row r="63" spans="1:10">
      <c r="A63" s="2" t="str">
        <f>"407510048"</f>
        <v>407510048</v>
      </c>
      <c r="B63" s="2" t="s">
        <v>2093</v>
      </c>
      <c r="J63" s="2">
        <f t="shared" si="1"/>
        <v>0</v>
      </c>
    </row>
    <row r="64" spans="1:10">
      <c r="A64" s="2" t="str">
        <f>"407510049"</f>
        <v>407510049</v>
      </c>
      <c r="B64" s="2" t="s">
        <v>2038</v>
      </c>
      <c r="J64" s="2">
        <f t="shared" si="1"/>
        <v>0</v>
      </c>
    </row>
    <row r="65" spans="1:10">
      <c r="A65" s="2" t="str">
        <f>"407510050"</f>
        <v>407510050</v>
      </c>
      <c r="B65" s="2" t="s">
        <v>2094</v>
      </c>
      <c r="G65" s="2">
        <v>1</v>
      </c>
      <c r="J65" s="2">
        <f t="shared" si="1"/>
        <v>1</v>
      </c>
    </row>
    <row r="66" spans="1:10">
      <c r="A66" s="2" t="str">
        <f>"407510051"</f>
        <v>407510051</v>
      </c>
      <c r="B66" s="2" t="s">
        <v>2039</v>
      </c>
      <c r="J66" s="2">
        <f t="shared" si="1"/>
        <v>0</v>
      </c>
    </row>
    <row r="67" spans="1:10">
      <c r="A67" s="2" t="str">
        <f>"407510052"</f>
        <v>407510052</v>
      </c>
      <c r="B67" s="2" t="s">
        <v>2095</v>
      </c>
      <c r="J67" s="2">
        <f t="shared" ref="J67:J98" si="2">SUM(C67:I67)</f>
        <v>0</v>
      </c>
    </row>
    <row r="68" spans="1:10">
      <c r="A68" s="2" t="str">
        <f>"407510053"</f>
        <v>407510053</v>
      </c>
      <c r="B68" s="2" t="s">
        <v>2040</v>
      </c>
      <c r="C68" s="2">
        <v>1</v>
      </c>
      <c r="J68" s="2">
        <f t="shared" si="2"/>
        <v>1</v>
      </c>
    </row>
    <row r="69" spans="1:10">
      <c r="A69" s="2" t="str">
        <f>"407510054"</f>
        <v>407510054</v>
      </c>
      <c r="B69" s="2" t="s">
        <v>2096</v>
      </c>
      <c r="J69" s="2">
        <f t="shared" si="2"/>
        <v>0</v>
      </c>
    </row>
    <row r="70" spans="1:10">
      <c r="A70" s="2" t="str">
        <f>"407510055"</f>
        <v>407510055</v>
      </c>
      <c r="B70" s="2" t="s">
        <v>2041</v>
      </c>
      <c r="J70" s="2">
        <f t="shared" si="2"/>
        <v>0</v>
      </c>
    </row>
    <row r="71" spans="1:10">
      <c r="A71" s="2" t="str">
        <f>"407510056"</f>
        <v>407510056</v>
      </c>
      <c r="B71" s="2" t="s">
        <v>2097</v>
      </c>
      <c r="J71" s="2">
        <f t="shared" si="2"/>
        <v>0</v>
      </c>
    </row>
    <row r="72" spans="1:10">
      <c r="A72" s="2" t="str">
        <f>"407510057"</f>
        <v>407510057</v>
      </c>
      <c r="B72" s="2" t="s">
        <v>2042</v>
      </c>
      <c r="J72" s="2">
        <f t="shared" si="2"/>
        <v>0</v>
      </c>
    </row>
    <row r="73" spans="1:10">
      <c r="A73" s="2" t="str">
        <f>"407510058"</f>
        <v>407510058</v>
      </c>
      <c r="B73" s="2" t="s">
        <v>2098</v>
      </c>
      <c r="J73" s="2">
        <f t="shared" si="2"/>
        <v>0</v>
      </c>
    </row>
    <row r="74" spans="1:10">
      <c r="A74" s="2" t="str">
        <f>"407510059"</f>
        <v>407510059</v>
      </c>
      <c r="B74" s="2" t="s">
        <v>2043</v>
      </c>
      <c r="J74" s="2">
        <f t="shared" si="2"/>
        <v>0</v>
      </c>
    </row>
    <row r="75" spans="1:10">
      <c r="A75" s="2" t="str">
        <f>"407510060"</f>
        <v>407510060</v>
      </c>
      <c r="B75" s="2" t="s">
        <v>2099</v>
      </c>
      <c r="J75" s="2">
        <f t="shared" si="2"/>
        <v>0</v>
      </c>
    </row>
    <row r="76" spans="1:10">
      <c r="A76" s="2" t="str">
        <f>"407510061"</f>
        <v>407510061</v>
      </c>
      <c r="B76" s="2" t="s">
        <v>2044</v>
      </c>
      <c r="J76" s="2">
        <f t="shared" si="2"/>
        <v>0</v>
      </c>
    </row>
    <row r="77" spans="1:10">
      <c r="A77" s="2" t="str">
        <f>"407510062"</f>
        <v>407510062</v>
      </c>
      <c r="B77" s="2" t="s">
        <v>2100</v>
      </c>
      <c r="J77" s="2">
        <f t="shared" si="2"/>
        <v>0</v>
      </c>
    </row>
    <row r="78" spans="1:10">
      <c r="A78" s="2" t="str">
        <f>"407510063"</f>
        <v>407510063</v>
      </c>
      <c r="B78" s="2" t="s">
        <v>2045</v>
      </c>
      <c r="J78" s="2">
        <f t="shared" si="2"/>
        <v>0</v>
      </c>
    </row>
    <row r="79" spans="1:10">
      <c r="A79" s="2" t="str">
        <f>"407510064"</f>
        <v>407510064</v>
      </c>
      <c r="B79" s="2" t="s">
        <v>2101</v>
      </c>
      <c r="J79" s="2">
        <f t="shared" si="2"/>
        <v>0</v>
      </c>
    </row>
    <row r="80" spans="1:10">
      <c r="A80" s="2" t="str">
        <f>"407510065"</f>
        <v>407510065</v>
      </c>
      <c r="B80" s="2" t="s">
        <v>2046</v>
      </c>
      <c r="C80" s="2">
        <v>1</v>
      </c>
      <c r="G80" s="2">
        <v>1</v>
      </c>
      <c r="J80" s="2">
        <f t="shared" si="2"/>
        <v>2</v>
      </c>
    </row>
    <row r="81" spans="1:10">
      <c r="A81" s="2" t="str">
        <f>"407510066"</f>
        <v>407510066</v>
      </c>
      <c r="B81" s="2" t="s">
        <v>2102</v>
      </c>
      <c r="G81" s="2">
        <v>1</v>
      </c>
      <c r="J81" s="2">
        <f t="shared" si="2"/>
        <v>1</v>
      </c>
    </row>
    <row r="82" spans="1:10">
      <c r="A82" s="2" t="str">
        <f>"407510067"</f>
        <v>407510067</v>
      </c>
      <c r="B82" s="2" t="s">
        <v>2047</v>
      </c>
      <c r="C82" s="2">
        <v>1</v>
      </c>
      <c r="J82" s="2">
        <f t="shared" si="2"/>
        <v>1</v>
      </c>
    </row>
    <row r="83" spans="1:10">
      <c r="A83" s="2" t="str">
        <f>"407510068"</f>
        <v>407510068</v>
      </c>
      <c r="B83" s="2" t="s">
        <v>2103</v>
      </c>
      <c r="G83" s="2">
        <v>1</v>
      </c>
      <c r="J83" s="2">
        <f t="shared" si="2"/>
        <v>1</v>
      </c>
    </row>
    <row r="84" spans="1:10">
      <c r="A84" s="2" t="str">
        <f>"407510069"</f>
        <v>407510069</v>
      </c>
      <c r="B84" s="2" t="s">
        <v>2048</v>
      </c>
      <c r="J84" s="2">
        <f t="shared" si="2"/>
        <v>0</v>
      </c>
    </row>
    <row r="85" spans="1:10">
      <c r="A85" s="2" t="str">
        <f>"407510070"</f>
        <v>407510070</v>
      </c>
      <c r="B85" s="2" t="s">
        <v>2104</v>
      </c>
      <c r="G85" s="2">
        <v>1</v>
      </c>
      <c r="J85" s="2">
        <f t="shared" si="2"/>
        <v>1</v>
      </c>
    </row>
    <row r="86" spans="1:10">
      <c r="A86" s="2" t="str">
        <f>"407510071"</f>
        <v>407510071</v>
      </c>
      <c r="B86" s="2" t="s">
        <v>2049</v>
      </c>
      <c r="C86" s="2">
        <v>1</v>
      </c>
      <c r="J86" s="2">
        <f t="shared" si="2"/>
        <v>1</v>
      </c>
    </row>
    <row r="87" spans="1:10">
      <c r="A87" s="2" t="str">
        <f>"407510072"</f>
        <v>407510072</v>
      </c>
      <c r="B87" s="2" t="s">
        <v>2105</v>
      </c>
      <c r="C87" s="2">
        <v>1</v>
      </c>
      <c r="G87" s="2">
        <v>1</v>
      </c>
      <c r="J87" s="2">
        <f t="shared" si="2"/>
        <v>2</v>
      </c>
    </row>
    <row r="88" spans="1:10">
      <c r="A88" s="2" t="str">
        <f>"407510073"</f>
        <v>407510073</v>
      </c>
      <c r="B88" s="2" t="s">
        <v>2050</v>
      </c>
      <c r="J88" s="2">
        <f t="shared" si="2"/>
        <v>0</v>
      </c>
    </row>
    <row r="89" spans="1:10">
      <c r="A89" s="2" t="str">
        <f>"407510074"</f>
        <v>407510074</v>
      </c>
      <c r="B89" s="2" t="s">
        <v>2106</v>
      </c>
      <c r="J89" s="2">
        <f t="shared" si="2"/>
        <v>0</v>
      </c>
    </row>
    <row r="90" spans="1:10">
      <c r="A90" s="2" t="str">
        <f>"407510075"</f>
        <v>407510075</v>
      </c>
      <c r="B90" s="2" t="s">
        <v>2051</v>
      </c>
      <c r="J90" s="2">
        <f t="shared" si="2"/>
        <v>0</v>
      </c>
    </row>
    <row r="91" spans="1:10">
      <c r="A91" s="2" t="str">
        <f>"407510076"</f>
        <v>407510076</v>
      </c>
      <c r="B91" s="2" t="s">
        <v>2107</v>
      </c>
      <c r="J91" s="2">
        <f t="shared" si="2"/>
        <v>0</v>
      </c>
    </row>
    <row r="92" spans="1:10">
      <c r="A92" s="2" t="str">
        <f>"407510077"</f>
        <v>407510077</v>
      </c>
      <c r="B92" s="2" t="s">
        <v>2052</v>
      </c>
      <c r="C92" s="2">
        <v>1</v>
      </c>
      <c r="J92" s="2">
        <f t="shared" si="2"/>
        <v>1</v>
      </c>
    </row>
    <row r="93" spans="1:10">
      <c r="A93" s="2" t="str">
        <f>"407510078"</f>
        <v>407510078</v>
      </c>
      <c r="B93" s="2" t="s">
        <v>2108</v>
      </c>
      <c r="J93" s="2">
        <f t="shared" si="2"/>
        <v>0</v>
      </c>
    </row>
    <row r="94" spans="1:10">
      <c r="A94" s="2" t="str">
        <f>"407510079"</f>
        <v>407510079</v>
      </c>
      <c r="B94" s="2" t="s">
        <v>2053</v>
      </c>
      <c r="J94" s="2">
        <f t="shared" si="2"/>
        <v>0</v>
      </c>
    </row>
    <row r="95" spans="1:10">
      <c r="A95" s="2" t="str">
        <f>"407510080"</f>
        <v>407510080</v>
      </c>
      <c r="B95" s="2" t="s">
        <v>2109</v>
      </c>
      <c r="J95" s="2">
        <f t="shared" si="2"/>
        <v>0</v>
      </c>
    </row>
    <row r="96" spans="1:10">
      <c r="A96" s="4" t="str">
        <f>"407510081"</f>
        <v>407510081</v>
      </c>
      <c r="B96" s="4" t="s">
        <v>2054</v>
      </c>
      <c r="J96" s="2">
        <f t="shared" si="2"/>
        <v>0</v>
      </c>
    </row>
    <row r="97" spans="1:10">
      <c r="A97" s="2" t="str">
        <f>"407510082"</f>
        <v>407510082</v>
      </c>
      <c r="B97" s="2" t="s">
        <v>2110</v>
      </c>
      <c r="G97" s="2">
        <v>1</v>
      </c>
      <c r="J97" s="2">
        <f t="shared" si="2"/>
        <v>1</v>
      </c>
    </row>
    <row r="98" spans="1:10">
      <c r="A98" s="2" t="str">
        <f>"407510083"</f>
        <v>407510083</v>
      </c>
      <c r="B98" s="2" t="s">
        <v>2055</v>
      </c>
      <c r="J98" s="2">
        <f t="shared" si="2"/>
        <v>0</v>
      </c>
    </row>
    <row r="99" spans="1:10">
      <c r="A99" s="2" t="str">
        <f>"407510084"</f>
        <v>407510084</v>
      </c>
      <c r="B99" s="2" t="s">
        <v>2111</v>
      </c>
      <c r="J99" s="2">
        <f t="shared" ref="J99:J122" si="3">SUM(C99:I99)</f>
        <v>0</v>
      </c>
    </row>
    <row r="100" spans="1:10">
      <c r="A100" s="2" t="str">
        <f>"407510085"</f>
        <v>407510085</v>
      </c>
      <c r="B100" s="2" t="s">
        <v>2056</v>
      </c>
      <c r="J100" s="2">
        <f t="shared" si="3"/>
        <v>0</v>
      </c>
    </row>
    <row r="101" spans="1:10">
      <c r="A101" s="2" t="str">
        <f>"407510086"</f>
        <v>407510086</v>
      </c>
      <c r="B101" s="2" t="s">
        <v>2112</v>
      </c>
      <c r="J101" s="2">
        <f t="shared" si="3"/>
        <v>0</v>
      </c>
    </row>
    <row r="102" spans="1:10">
      <c r="A102" s="2" t="str">
        <f>"407510087"</f>
        <v>407510087</v>
      </c>
      <c r="B102" s="2" t="s">
        <v>2057</v>
      </c>
      <c r="J102" s="2">
        <f t="shared" si="3"/>
        <v>0</v>
      </c>
    </row>
    <row r="103" spans="1:10">
      <c r="A103" s="2" t="str">
        <f>"407510088"</f>
        <v>407510088</v>
      </c>
      <c r="B103" s="2" t="s">
        <v>2113</v>
      </c>
      <c r="J103" s="2">
        <f t="shared" si="3"/>
        <v>0</v>
      </c>
    </row>
    <row r="104" spans="1:10">
      <c r="A104" s="2" t="str">
        <f>"407510089"</f>
        <v>407510089</v>
      </c>
      <c r="B104" s="2" t="s">
        <v>2058</v>
      </c>
      <c r="C104" s="2">
        <v>1</v>
      </c>
      <c r="G104" s="2">
        <v>1</v>
      </c>
      <c r="J104" s="2">
        <f t="shared" si="3"/>
        <v>2</v>
      </c>
    </row>
    <row r="105" spans="1:10">
      <c r="A105" s="2" t="str">
        <f>"407510090"</f>
        <v>407510090</v>
      </c>
      <c r="B105" s="2" t="s">
        <v>2114</v>
      </c>
      <c r="J105" s="2">
        <f t="shared" si="3"/>
        <v>0</v>
      </c>
    </row>
    <row r="106" spans="1:10">
      <c r="A106" s="2" t="str">
        <f>"407510091"</f>
        <v>407510091</v>
      </c>
      <c r="B106" s="2" t="s">
        <v>2059</v>
      </c>
      <c r="C106" s="2">
        <v>1</v>
      </c>
      <c r="J106" s="2">
        <f t="shared" si="3"/>
        <v>1</v>
      </c>
    </row>
    <row r="107" spans="1:10">
      <c r="A107" s="2" t="str">
        <f>"407510092"</f>
        <v>407510092</v>
      </c>
      <c r="B107" s="2" t="s">
        <v>2115</v>
      </c>
      <c r="J107" s="2">
        <f t="shared" si="3"/>
        <v>0</v>
      </c>
    </row>
    <row r="108" spans="1:10">
      <c r="A108" s="2" t="str">
        <f>"407510093"</f>
        <v>407510093</v>
      </c>
      <c r="B108" s="2" t="s">
        <v>2060</v>
      </c>
      <c r="J108" s="2">
        <f t="shared" si="3"/>
        <v>0</v>
      </c>
    </row>
    <row r="109" spans="1:10">
      <c r="A109" s="2" t="str">
        <f>"407510094"</f>
        <v>407510094</v>
      </c>
      <c r="B109" s="2" t="s">
        <v>2116</v>
      </c>
      <c r="J109" s="2">
        <f t="shared" si="3"/>
        <v>0</v>
      </c>
    </row>
    <row r="110" spans="1:10">
      <c r="A110" s="2" t="str">
        <f>"407510095"</f>
        <v>407510095</v>
      </c>
      <c r="B110" s="2" t="s">
        <v>2061</v>
      </c>
      <c r="J110" s="2">
        <f t="shared" si="3"/>
        <v>0</v>
      </c>
    </row>
    <row r="111" spans="1:10">
      <c r="A111" s="2" t="str">
        <f>"407510096"</f>
        <v>407510096</v>
      </c>
      <c r="B111" s="2" t="s">
        <v>2117</v>
      </c>
      <c r="J111" s="2">
        <f t="shared" si="3"/>
        <v>0</v>
      </c>
    </row>
    <row r="112" spans="1:10">
      <c r="A112" s="2" t="str">
        <f>"407510097"</f>
        <v>407510097</v>
      </c>
      <c r="B112" s="2" t="s">
        <v>2062</v>
      </c>
      <c r="J112" s="2">
        <f t="shared" si="3"/>
        <v>0</v>
      </c>
    </row>
    <row r="113" spans="1:10">
      <c r="A113" s="2" t="str">
        <f>"407510098"</f>
        <v>407510098</v>
      </c>
      <c r="B113" s="2" t="s">
        <v>2118</v>
      </c>
      <c r="C113" s="2">
        <v>1</v>
      </c>
      <c r="J113" s="2">
        <f t="shared" si="3"/>
        <v>1</v>
      </c>
    </row>
    <row r="114" spans="1:10">
      <c r="A114" s="2" t="str">
        <f>"407510099"</f>
        <v>407510099</v>
      </c>
      <c r="B114" s="2" t="s">
        <v>2063</v>
      </c>
      <c r="G114" s="2">
        <v>1</v>
      </c>
      <c r="J114" s="2">
        <f t="shared" si="3"/>
        <v>1</v>
      </c>
    </row>
    <row r="115" spans="1:10">
      <c r="A115" s="2" t="str">
        <f>"407510100"</f>
        <v>407510100</v>
      </c>
      <c r="B115" s="2" t="s">
        <v>2119</v>
      </c>
      <c r="J115" s="2">
        <f t="shared" si="3"/>
        <v>0</v>
      </c>
    </row>
    <row r="116" spans="1:10">
      <c r="A116" s="2" t="str">
        <f>"407510101"</f>
        <v>407510101</v>
      </c>
      <c r="B116" s="2" t="s">
        <v>2064</v>
      </c>
      <c r="J116" s="2">
        <f t="shared" si="3"/>
        <v>0</v>
      </c>
    </row>
    <row r="117" spans="1:10">
      <c r="A117" s="2" t="str">
        <f>"407510102"</f>
        <v>407510102</v>
      </c>
      <c r="B117" s="2" t="s">
        <v>2120</v>
      </c>
      <c r="G117" s="2">
        <v>1</v>
      </c>
      <c r="J117" s="2">
        <f t="shared" si="3"/>
        <v>1</v>
      </c>
    </row>
    <row r="118" spans="1:10">
      <c r="A118" s="2" t="str">
        <f>"407510103"</f>
        <v>407510103</v>
      </c>
      <c r="B118" s="2" t="s">
        <v>2065</v>
      </c>
      <c r="G118" s="2">
        <v>1</v>
      </c>
      <c r="J118" s="2">
        <f t="shared" si="3"/>
        <v>1</v>
      </c>
    </row>
    <row r="119" spans="1:10">
      <c r="A119" s="2" t="str">
        <f>"407510104"</f>
        <v>407510104</v>
      </c>
      <c r="B119" s="2" t="s">
        <v>2121</v>
      </c>
      <c r="C119" s="2">
        <v>1</v>
      </c>
      <c r="G119" s="2">
        <v>1</v>
      </c>
      <c r="J119" s="2">
        <f t="shared" si="3"/>
        <v>2</v>
      </c>
    </row>
    <row r="120" spans="1:10">
      <c r="A120" s="98">
        <v>407510110</v>
      </c>
      <c r="B120" s="98" t="s">
        <v>2125</v>
      </c>
      <c r="J120" s="2">
        <f t="shared" si="3"/>
        <v>0</v>
      </c>
    </row>
    <row r="121" spans="1:10">
      <c r="A121" s="98">
        <v>407510111</v>
      </c>
      <c r="B121" s="105" t="s">
        <v>2124</v>
      </c>
      <c r="J121" s="2">
        <f t="shared" si="3"/>
        <v>0</v>
      </c>
    </row>
    <row r="122" spans="1:10">
      <c r="A122" s="98">
        <v>407510112</v>
      </c>
      <c r="B122" s="105" t="s">
        <v>2126</v>
      </c>
      <c r="J122" s="2">
        <f t="shared" si="3"/>
        <v>0</v>
      </c>
    </row>
    <row r="126" spans="1:10">
      <c r="B126" s="2" t="s">
        <v>2127</v>
      </c>
      <c r="C126" s="2">
        <f>MEDIAN(J3:J119)</f>
        <v>0</v>
      </c>
    </row>
    <row r="129" spans="1:2">
      <c r="A129" s="2" t="s">
        <v>1903</v>
      </c>
      <c r="B129" s="2" t="s">
        <v>2128</v>
      </c>
    </row>
    <row r="130" spans="1:2">
      <c r="A130" s="4" t="s">
        <v>2129</v>
      </c>
      <c r="B130" s="4"/>
    </row>
    <row r="131" spans="1:2">
      <c r="A131" s="116" t="s">
        <v>2130</v>
      </c>
    </row>
    <row r="132" spans="1:2">
      <c r="A132" s="116" t="s">
        <v>2131</v>
      </c>
    </row>
    <row r="133" spans="1:2">
      <c r="A133" s="2" t="s">
        <v>2132</v>
      </c>
    </row>
  </sheetData>
  <sortState ref="A3:J123">
    <sortCondition ref="A3"/>
  </sortState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22" workbookViewId="0">
      <selection activeCell="E20" sqref="E20"/>
    </sheetView>
  </sheetViews>
  <sheetFormatPr defaultRowHeight="16.2"/>
  <cols>
    <col min="1" max="1" width="13" style="2" customWidth="1"/>
    <col min="2" max="2" width="15.21875" style="2" bestFit="1" customWidth="1"/>
    <col min="3" max="9" width="9" style="2"/>
    <col min="10" max="10" width="8.88671875" style="2"/>
    <col min="11" max="11" width="9" style="2"/>
  </cols>
  <sheetData>
    <row r="1" spans="1:15">
      <c r="A1" s="4" t="s">
        <v>2133</v>
      </c>
      <c r="B1" s="4"/>
      <c r="C1" s="86">
        <f>MAX(K2:K105)</f>
        <v>5</v>
      </c>
      <c r="G1" s="45"/>
      <c r="K1" s="85"/>
    </row>
    <row r="2" spans="1:15">
      <c r="A2" s="104" t="s">
        <v>1912</v>
      </c>
      <c r="B2" s="104" t="s">
        <v>1913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108" t="s">
        <v>1914</v>
      </c>
      <c r="L2" s="7"/>
      <c r="M2" s="7"/>
      <c r="N2" s="7"/>
      <c r="O2" s="7"/>
    </row>
    <row r="3" spans="1:15">
      <c r="A3" s="35">
        <v>405710026</v>
      </c>
      <c r="B3" s="127" t="s">
        <v>2239</v>
      </c>
      <c r="C3" s="125"/>
      <c r="D3" s="126"/>
      <c r="E3" s="126"/>
      <c r="F3" s="126"/>
      <c r="G3" s="126"/>
      <c r="H3" s="126"/>
      <c r="I3" s="126"/>
      <c r="J3" s="126"/>
      <c r="K3" s="86">
        <v>0</v>
      </c>
      <c r="L3" s="7"/>
      <c r="M3" s="7"/>
      <c r="N3" s="7"/>
      <c r="O3" s="7"/>
    </row>
    <row r="4" spans="1:15">
      <c r="A4" s="2" t="str">
        <f>"406510003"</f>
        <v>406510003</v>
      </c>
      <c r="B4" s="2" t="s">
        <v>2134</v>
      </c>
      <c r="E4" s="2">
        <v>1</v>
      </c>
      <c r="F4" s="2">
        <v>1</v>
      </c>
      <c r="H4" s="2">
        <v>1</v>
      </c>
      <c r="K4" s="2">
        <f>SUM(C4:J4)</f>
        <v>3</v>
      </c>
    </row>
    <row r="5" spans="1:15">
      <c r="A5" s="2" t="str">
        <f>"406510007"</f>
        <v>406510007</v>
      </c>
      <c r="B5" s="2" t="s">
        <v>2135</v>
      </c>
      <c r="E5" s="2">
        <v>1</v>
      </c>
      <c r="F5" s="2">
        <v>1</v>
      </c>
      <c r="H5" s="2">
        <v>1</v>
      </c>
      <c r="K5" s="2">
        <f t="shared" ref="K5:K68" si="0">SUM(C5:J5)</f>
        <v>3</v>
      </c>
    </row>
    <row r="6" spans="1:15">
      <c r="A6" s="2" t="str">
        <f>"406510009"</f>
        <v>406510009</v>
      </c>
      <c r="B6" s="2" t="s">
        <v>2136</v>
      </c>
      <c r="C6" s="2">
        <v>1</v>
      </c>
      <c r="E6" s="2">
        <v>1</v>
      </c>
      <c r="F6" s="2">
        <v>1</v>
      </c>
      <c r="H6" s="2">
        <v>1</v>
      </c>
      <c r="K6" s="2">
        <f t="shared" si="0"/>
        <v>4</v>
      </c>
    </row>
    <row r="7" spans="1:15">
      <c r="A7" s="2" t="str">
        <f>"406510011"</f>
        <v>406510011</v>
      </c>
      <c r="B7" s="2" t="s">
        <v>2137</v>
      </c>
      <c r="E7" s="2">
        <v>1</v>
      </c>
      <c r="K7" s="2">
        <f t="shared" si="0"/>
        <v>1</v>
      </c>
    </row>
    <row r="8" spans="1:15">
      <c r="A8" s="2" t="str">
        <f>"406510013"</f>
        <v>406510013</v>
      </c>
      <c r="B8" s="2" t="s">
        <v>2138</v>
      </c>
      <c r="C8" s="2">
        <v>1</v>
      </c>
      <c r="E8" s="2">
        <v>1</v>
      </c>
      <c r="F8" s="2">
        <v>1</v>
      </c>
      <c r="H8" s="2">
        <v>1</v>
      </c>
      <c r="K8" s="2">
        <f t="shared" si="0"/>
        <v>4</v>
      </c>
    </row>
    <row r="9" spans="1:15">
      <c r="A9" s="2" t="str">
        <f>"406510015"</f>
        <v>406510015</v>
      </c>
      <c r="B9" s="2" t="s">
        <v>2139</v>
      </c>
      <c r="E9" s="2">
        <v>1</v>
      </c>
      <c r="F9" s="2">
        <v>1</v>
      </c>
      <c r="H9" s="2">
        <v>1</v>
      </c>
      <c r="K9" s="2">
        <f t="shared" si="0"/>
        <v>3</v>
      </c>
    </row>
    <row r="10" spans="1:15">
      <c r="A10" s="2" t="str">
        <f>"406510017"</f>
        <v>406510017</v>
      </c>
      <c r="B10" s="2" t="s">
        <v>2140</v>
      </c>
      <c r="D10" s="2">
        <v>1</v>
      </c>
      <c r="E10" s="2">
        <v>1</v>
      </c>
      <c r="F10" s="2">
        <v>1</v>
      </c>
      <c r="H10" s="2">
        <v>1</v>
      </c>
      <c r="K10" s="2">
        <f t="shared" si="0"/>
        <v>4</v>
      </c>
    </row>
    <row r="11" spans="1:15">
      <c r="A11" s="2" t="str">
        <f>"406510019"</f>
        <v>406510019</v>
      </c>
      <c r="B11" s="2" t="s">
        <v>2141</v>
      </c>
      <c r="E11" s="2">
        <v>1</v>
      </c>
      <c r="F11" s="2">
        <v>1</v>
      </c>
      <c r="H11" s="2">
        <v>1</v>
      </c>
      <c r="K11" s="2">
        <f t="shared" si="0"/>
        <v>3</v>
      </c>
    </row>
    <row r="12" spans="1:15">
      <c r="A12" s="2" t="str">
        <f>"406510021"</f>
        <v>406510021</v>
      </c>
      <c r="B12" s="2" t="s">
        <v>2142</v>
      </c>
      <c r="C12" s="2">
        <v>1</v>
      </c>
      <c r="E12" s="2">
        <v>1</v>
      </c>
      <c r="F12" s="2">
        <v>1</v>
      </c>
      <c r="H12" s="2">
        <v>1</v>
      </c>
      <c r="K12" s="2">
        <f t="shared" si="0"/>
        <v>4</v>
      </c>
    </row>
    <row r="13" spans="1:15">
      <c r="A13" s="2" t="str">
        <f>"406510023"</f>
        <v>406510023</v>
      </c>
      <c r="B13" s="2" t="s">
        <v>2143</v>
      </c>
      <c r="E13" s="2">
        <v>1</v>
      </c>
      <c r="H13" s="2">
        <v>1</v>
      </c>
      <c r="K13" s="2">
        <f t="shared" si="0"/>
        <v>2</v>
      </c>
    </row>
    <row r="14" spans="1:15">
      <c r="A14" s="2" t="str">
        <f>"406510025"</f>
        <v>406510025</v>
      </c>
      <c r="B14" s="2" t="s">
        <v>2144</v>
      </c>
      <c r="C14" s="2">
        <v>1</v>
      </c>
      <c r="E14" s="2">
        <v>1</v>
      </c>
      <c r="F14" s="2">
        <v>1</v>
      </c>
      <c r="H14" s="2">
        <v>1</v>
      </c>
      <c r="K14" s="2">
        <f t="shared" si="0"/>
        <v>4</v>
      </c>
    </row>
    <row r="15" spans="1:15">
      <c r="A15" s="2" t="str">
        <f>"406510027"</f>
        <v>406510027</v>
      </c>
      <c r="B15" s="2" t="s">
        <v>2145</v>
      </c>
      <c r="E15" s="2">
        <v>1</v>
      </c>
      <c r="H15" s="2">
        <v>1</v>
      </c>
      <c r="K15" s="2">
        <f t="shared" si="0"/>
        <v>2</v>
      </c>
    </row>
    <row r="16" spans="1:15">
      <c r="A16" s="2" t="str">
        <f>"406510029"</f>
        <v>406510029</v>
      </c>
      <c r="B16" s="2" t="s">
        <v>2146</v>
      </c>
      <c r="E16" s="2">
        <v>1</v>
      </c>
      <c r="F16" s="2">
        <v>1</v>
      </c>
      <c r="H16" s="2">
        <v>1</v>
      </c>
      <c r="K16" s="2">
        <f t="shared" si="0"/>
        <v>3</v>
      </c>
    </row>
    <row r="17" spans="1:11">
      <c r="A17" s="2" t="str">
        <f>"406510031"</f>
        <v>406510031</v>
      </c>
      <c r="B17" s="2" t="s">
        <v>2147</v>
      </c>
      <c r="E17" s="2">
        <v>1</v>
      </c>
      <c r="F17" s="2">
        <v>1</v>
      </c>
      <c r="H17" s="2">
        <v>1</v>
      </c>
      <c r="K17" s="2">
        <f t="shared" si="0"/>
        <v>3</v>
      </c>
    </row>
    <row r="18" spans="1:11">
      <c r="A18" s="2" t="str">
        <f>"406510033"</f>
        <v>406510033</v>
      </c>
      <c r="B18" s="2" t="s">
        <v>2148</v>
      </c>
      <c r="E18" s="2">
        <v>1</v>
      </c>
      <c r="F18" s="2">
        <v>1</v>
      </c>
      <c r="K18" s="2">
        <f t="shared" si="0"/>
        <v>2</v>
      </c>
    </row>
    <row r="19" spans="1:11">
      <c r="A19" s="2" t="str">
        <f>"406510035"</f>
        <v>406510035</v>
      </c>
      <c r="B19" s="2" t="s">
        <v>2149</v>
      </c>
      <c r="E19" s="2">
        <v>1</v>
      </c>
      <c r="H19" s="2">
        <v>1</v>
      </c>
      <c r="K19" s="2">
        <f t="shared" si="0"/>
        <v>2</v>
      </c>
    </row>
    <row r="20" spans="1:11">
      <c r="A20" s="2" t="str">
        <f>"406510037"</f>
        <v>406510037</v>
      </c>
      <c r="B20" s="2" t="s">
        <v>2010</v>
      </c>
      <c r="E20" s="2">
        <v>1</v>
      </c>
      <c r="F20" s="2">
        <v>1</v>
      </c>
      <c r="K20" s="2">
        <f t="shared" si="0"/>
        <v>2</v>
      </c>
    </row>
    <row r="21" spans="1:11">
      <c r="A21" s="2" t="str">
        <f>"406510039"</f>
        <v>406510039</v>
      </c>
      <c r="B21" s="2" t="s">
        <v>2150</v>
      </c>
      <c r="C21" s="2">
        <v>1</v>
      </c>
      <c r="E21" s="2">
        <v>1</v>
      </c>
      <c r="F21" s="2">
        <v>1</v>
      </c>
      <c r="H21" s="2">
        <v>1</v>
      </c>
      <c r="K21" s="2">
        <f t="shared" si="0"/>
        <v>4</v>
      </c>
    </row>
    <row r="22" spans="1:11">
      <c r="A22" s="2" t="str">
        <f>"406510041"</f>
        <v>406510041</v>
      </c>
      <c r="B22" s="2" t="s">
        <v>2151</v>
      </c>
      <c r="C22" s="2">
        <v>1</v>
      </c>
      <c r="E22" s="2">
        <v>1</v>
      </c>
      <c r="F22" s="2">
        <v>1</v>
      </c>
      <c r="H22" s="2">
        <v>1</v>
      </c>
      <c r="K22" s="2">
        <f t="shared" si="0"/>
        <v>4</v>
      </c>
    </row>
    <row r="23" spans="1:11">
      <c r="A23" s="2" t="str">
        <f>"406510043"</f>
        <v>406510043</v>
      </c>
      <c r="B23" s="2" t="s">
        <v>2152</v>
      </c>
      <c r="E23" s="2">
        <v>1</v>
      </c>
      <c r="F23" s="2">
        <v>1</v>
      </c>
      <c r="H23" s="2">
        <v>1</v>
      </c>
      <c r="K23" s="2">
        <f t="shared" si="0"/>
        <v>3</v>
      </c>
    </row>
    <row r="24" spans="1:11">
      <c r="A24" s="2" t="str">
        <f>"406510047"</f>
        <v>406510047</v>
      </c>
      <c r="B24" s="2" t="s">
        <v>2153</v>
      </c>
      <c r="E24" s="2">
        <v>1</v>
      </c>
      <c r="F24" s="2">
        <v>1</v>
      </c>
      <c r="K24" s="2">
        <f t="shared" si="0"/>
        <v>2</v>
      </c>
    </row>
    <row r="25" spans="1:11">
      <c r="A25" s="2" t="str">
        <f>"406510049"</f>
        <v>406510049</v>
      </c>
      <c r="B25" s="2" t="s">
        <v>2154</v>
      </c>
      <c r="E25" s="2">
        <v>1</v>
      </c>
      <c r="H25" s="2">
        <v>1</v>
      </c>
      <c r="K25" s="2">
        <f t="shared" si="0"/>
        <v>2</v>
      </c>
    </row>
    <row r="26" spans="1:11">
      <c r="A26" s="2" t="str">
        <f>"406510051"</f>
        <v>406510051</v>
      </c>
      <c r="B26" s="2" t="s">
        <v>2155</v>
      </c>
      <c r="C26" s="2">
        <v>1</v>
      </c>
      <c r="E26" s="2">
        <v>1</v>
      </c>
      <c r="K26" s="2">
        <f t="shared" si="0"/>
        <v>2</v>
      </c>
    </row>
    <row r="27" spans="1:11">
      <c r="A27" s="2" t="str">
        <f>"406510053"</f>
        <v>406510053</v>
      </c>
      <c r="B27" s="2" t="s">
        <v>2156</v>
      </c>
      <c r="H27" s="2">
        <v>1</v>
      </c>
      <c r="K27" s="2">
        <f t="shared" si="0"/>
        <v>1</v>
      </c>
    </row>
    <row r="28" spans="1:11">
      <c r="A28" s="2" t="str">
        <f>"406510055"</f>
        <v>406510055</v>
      </c>
      <c r="B28" s="2" t="s">
        <v>2157</v>
      </c>
      <c r="H28" s="2">
        <v>1</v>
      </c>
      <c r="K28" s="2">
        <f t="shared" si="0"/>
        <v>1</v>
      </c>
    </row>
    <row r="29" spans="1:11">
      <c r="A29" s="2" t="str">
        <f>"406510059"</f>
        <v>406510059</v>
      </c>
      <c r="B29" s="2" t="s">
        <v>2158</v>
      </c>
      <c r="F29" s="2">
        <v>1</v>
      </c>
      <c r="H29" s="2">
        <v>1</v>
      </c>
      <c r="K29" s="2">
        <f t="shared" si="0"/>
        <v>2</v>
      </c>
    </row>
    <row r="30" spans="1:11">
      <c r="A30" s="2" t="str">
        <f>"406510061"</f>
        <v>406510061</v>
      </c>
      <c r="B30" s="2" t="s">
        <v>2159</v>
      </c>
      <c r="C30" s="2">
        <v>1</v>
      </c>
      <c r="E30" s="2">
        <v>1</v>
      </c>
      <c r="F30" s="2">
        <v>1</v>
      </c>
      <c r="H30" s="2">
        <v>1</v>
      </c>
      <c r="K30" s="2">
        <f t="shared" si="0"/>
        <v>4</v>
      </c>
    </row>
    <row r="31" spans="1:11">
      <c r="A31" s="2" t="str">
        <f>"406510065"</f>
        <v>406510065</v>
      </c>
      <c r="B31" s="2" t="s">
        <v>2160</v>
      </c>
      <c r="K31" s="2">
        <f t="shared" si="0"/>
        <v>0</v>
      </c>
    </row>
    <row r="32" spans="1:11">
      <c r="A32" s="2" t="str">
        <f>"406510067"</f>
        <v>406510067</v>
      </c>
      <c r="B32" s="2" t="s">
        <v>2161</v>
      </c>
      <c r="D32" s="2">
        <v>1</v>
      </c>
      <c r="E32" s="2">
        <v>1</v>
      </c>
      <c r="G32" s="2">
        <v>1</v>
      </c>
      <c r="H32" s="2">
        <v>1</v>
      </c>
      <c r="K32" s="2">
        <f t="shared" si="0"/>
        <v>4</v>
      </c>
    </row>
    <row r="33" spans="1:11">
      <c r="A33" s="2" t="str">
        <f>"406510069"</f>
        <v>406510069</v>
      </c>
      <c r="B33" s="2" t="s">
        <v>2162</v>
      </c>
      <c r="E33" s="2">
        <v>1</v>
      </c>
      <c r="K33" s="2">
        <f t="shared" si="0"/>
        <v>1</v>
      </c>
    </row>
    <row r="34" spans="1:11">
      <c r="A34" s="2" t="str">
        <f>"406510071"</f>
        <v>406510071</v>
      </c>
      <c r="B34" s="2" t="s">
        <v>2163</v>
      </c>
      <c r="E34" s="2">
        <v>1</v>
      </c>
      <c r="F34" s="2">
        <v>1</v>
      </c>
      <c r="H34" s="2">
        <v>1</v>
      </c>
      <c r="K34" s="2">
        <f t="shared" si="0"/>
        <v>3</v>
      </c>
    </row>
    <row r="35" spans="1:11">
      <c r="A35" s="2" t="str">
        <f>"406510073"</f>
        <v>406510073</v>
      </c>
      <c r="B35" s="2" t="s">
        <v>2164</v>
      </c>
      <c r="E35" s="2">
        <v>1</v>
      </c>
      <c r="F35" s="2">
        <v>1</v>
      </c>
      <c r="H35" s="2">
        <v>1</v>
      </c>
      <c r="K35" s="2">
        <f t="shared" si="0"/>
        <v>3</v>
      </c>
    </row>
    <row r="36" spans="1:11">
      <c r="A36" s="2" t="str">
        <f>"406510077"</f>
        <v>406510077</v>
      </c>
      <c r="B36" s="2" t="s">
        <v>2013</v>
      </c>
      <c r="E36" s="2">
        <v>1</v>
      </c>
      <c r="F36" s="2">
        <v>1</v>
      </c>
      <c r="K36" s="2">
        <f t="shared" si="0"/>
        <v>2</v>
      </c>
    </row>
    <row r="37" spans="1:11">
      <c r="A37" s="2" t="str">
        <f>"406510079"</f>
        <v>406510079</v>
      </c>
      <c r="B37" s="2" t="s">
        <v>2165</v>
      </c>
      <c r="C37" s="2">
        <v>1</v>
      </c>
      <c r="E37" s="2">
        <v>1</v>
      </c>
      <c r="F37" s="2">
        <v>1</v>
      </c>
      <c r="H37" s="2">
        <v>1</v>
      </c>
      <c r="K37" s="2">
        <f t="shared" si="0"/>
        <v>4</v>
      </c>
    </row>
    <row r="38" spans="1:11">
      <c r="A38" s="2" t="str">
        <f>"406510081"</f>
        <v>406510081</v>
      </c>
      <c r="B38" s="2" t="s">
        <v>2166</v>
      </c>
      <c r="D38" s="2">
        <v>1</v>
      </c>
      <c r="E38" s="2">
        <v>1</v>
      </c>
      <c r="F38" s="2">
        <v>1</v>
      </c>
      <c r="H38" s="2">
        <v>1</v>
      </c>
      <c r="K38" s="2">
        <f t="shared" si="0"/>
        <v>4</v>
      </c>
    </row>
    <row r="39" spans="1:11">
      <c r="A39" s="2" t="str">
        <f>"406510083"</f>
        <v>406510083</v>
      </c>
      <c r="B39" s="2" t="s">
        <v>2167</v>
      </c>
      <c r="C39" s="2">
        <v>1</v>
      </c>
      <c r="E39" s="2">
        <v>1</v>
      </c>
      <c r="K39" s="2">
        <f t="shared" si="0"/>
        <v>2</v>
      </c>
    </row>
    <row r="40" spans="1:11">
      <c r="A40" s="2" t="str">
        <f>"406510085"</f>
        <v>406510085</v>
      </c>
      <c r="B40" s="2" t="s">
        <v>2168</v>
      </c>
      <c r="E40" s="2">
        <v>1</v>
      </c>
      <c r="K40" s="2">
        <f t="shared" si="0"/>
        <v>1</v>
      </c>
    </row>
    <row r="41" spans="1:11">
      <c r="A41" s="2" t="str">
        <f>"406510087"</f>
        <v>406510087</v>
      </c>
      <c r="B41" s="2" t="s">
        <v>2169</v>
      </c>
      <c r="E41" s="2">
        <v>1</v>
      </c>
      <c r="F41" s="2">
        <v>1</v>
      </c>
      <c r="G41" s="2">
        <v>1</v>
      </c>
      <c r="H41" s="2">
        <v>1</v>
      </c>
      <c r="K41" s="2">
        <f t="shared" si="0"/>
        <v>4</v>
      </c>
    </row>
    <row r="42" spans="1:11">
      <c r="A42" s="2" t="str">
        <f>"406510089"</f>
        <v>406510089</v>
      </c>
      <c r="B42" s="2" t="s">
        <v>2170</v>
      </c>
      <c r="D42" s="2">
        <v>1</v>
      </c>
      <c r="E42" s="2">
        <v>1</v>
      </c>
      <c r="F42" s="2">
        <v>1</v>
      </c>
      <c r="G42" s="2">
        <v>1</v>
      </c>
      <c r="K42" s="2">
        <f t="shared" si="0"/>
        <v>4</v>
      </c>
    </row>
    <row r="43" spans="1:11">
      <c r="A43" s="2" t="str">
        <f>"406510091"</f>
        <v>406510091</v>
      </c>
      <c r="B43" s="2" t="s">
        <v>2171</v>
      </c>
      <c r="C43" s="2">
        <v>1</v>
      </c>
      <c r="F43" s="2">
        <v>1</v>
      </c>
      <c r="H43" s="2">
        <v>1</v>
      </c>
      <c r="K43" s="2">
        <f t="shared" si="0"/>
        <v>3</v>
      </c>
    </row>
    <row r="44" spans="1:11">
      <c r="A44" s="2" t="str">
        <f>"406510093"</f>
        <v>406510093</v>
      </c>
      <c r="B44" s="2" t="s">
        <v>2172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K44" s="2">
        <f t="shared" si="0"/>
        <v>5</v>
      </c>
    </row>
    <row r="45" spans="1:11">
      <c r="A45" s="2" t="str">
        <f>"406510095"</f>
        <v>406510095</v>
      </c>
      <c r="B45" s="2" t="s">
        <v>2173</v>
      </c>
      <c r="E45" s="2">
        <v>1</v>
      </c>
      <c r="F45" s="2">
        <v>1</v>
      </c>
      <c r="H45" s="2">
        <v>1</v>
      </c>
      <c r="K45" s="2">
        <f t="shared" si="0"/>
        <v>3</v>
      </c>
    </row>
    <row r="46" spans="1:11">
      <c r="A46" s="2" t="str">
        <f>"406510097"</f>
        <v>406510097</v>
      </c>
      <c r="B46" s="2" t="s">
        <v>2174</v>
      </c>
      <c r="E46" s="2">
        <v>1</v>
      </c>
      <c r="F46" s="2">
        <v>1</v>
      </c>
      <c r="H46" s="2">
        <v>1</v>
      </c>
      <c r="K46" s="2">
        <f t="shared" si="0"/>
        <v>3</v>
      </c>
    </row>
    <row r="47" spans="1:11">
      <c r="A47" s="2" t="str">
        <f>"406510099"</f>
        <v>406510099</v>
      </c>
      <c r="B47" s="2" t="s">
        <v>2175</v>
      </c>
      <c r="E47" s="2">
        <v>1</v>
      </c>
      <c r="F47" s="2">
        <v>1</v>
      </c>
      <c r="K47" s="2">
        <f t="shared" si="0"/>
        <v>2</v>
      </c>
    </row>
    <row r="48" spans="1:11">
      <c r="A48" s="2" t="str">
        <f>"406510101"</f>
        <v>406510101</v>
      </c>
      <c r="B48" s="2" t="s">
        <v>2176</v>
      </c>
      <c r="E48" s="2">
        <v>1</v>
      </c>
      <c r="K48" s="2">
        <f t="shared" si="0"/>
        <v>1</v>
      </c>
    </row>
    <row r="49" spans="1:11">
      <c r="A49" s="2" t="str">
        <f>"406510105"</f>
        <v>406510105</v>
      </c>
      <c r="B49" s="2" t="s">
        <v>2177</v>
      </c>
      <c r="E49" s="2">
        <v>1</v>
      </c>
      <c r="K49" s="2">
        <f t="shared" si="0"/>
        <v>1</v>
      </c>
    </row>
    <row r="50" spans="1:11">
      <c r="A50" s="2" t="str">
        <f>"406510002"</f>
        <v>406510002</v>
      </c>
      <c r="B50" s="2" t="s">
        <v>2178</v>
      </c>
      <c r="C50" s="2">
        <v>1</v>
      </c>
      <c r="E50" s="2">
        <v>1</v>
      </c>
      <c r="F50" s="2">
        <v>1</v>
      </c>
      <c r="H50" s="2">
        <v>1</v>
      </c>
      <c r="K50" s="2">
        <f t="shared" si="0"/>
        <v>4</v>
      </c>
    </row>
    <row r="51" spans="1:11">
      <c r="A51" s="2" t="str">
        <f>"406510004"</f>
        <v>406510004</v>
      </c>
      <c r="B51" s="2" t="s">
        <v>2179</v>
      </c>
      <c r="D51" s="2">
        <v>1</v>
      </c>
      <c r="E51" s="2">
        <v>1</v>
      </c>
      <c r="H51" s="2">
        <v>1</v>
      </c>
      <c r="K51" s="2">
        <f t="shared" si="0"/>
        <v>3</v>
      </c>
    </row>
    <row r="52" spans="1:11">
      <c r="A52" s="2" t="str">
        <f>"406510006"</f>
        <v>406510006</v>
      </c>
      <c r="B52" s="2" t="s">
        <v>2180</v>
      </c>
      <c r="E52" s="2">
        <v>1</v>
      </c>
      <c r="F52" s="2">
        <v>1</v>
      </c>
      <c r="G52" s="2">
        <v>1</v>
      </c>
      <c r="H52" s="2">
        <v>1</v>
      </c>
      <c r="K52" s="2">
        <f t="shared" si="0"/>
        <v>4</v>
      </c>
    </row>
    <row r="53" spans="1:11">
      <c r="A53" s="2" t="str">
        <f>"406510008"</f>
        <v>406510008</v>
      </c>
      <c r="B53" s="2" t="s">
        <v>2181</v>
      </c>
      <c r="E53" s="2">
        <v>1</v>
      </c>
      <c r="F53" s="2">
        <v>1</v>
      </c>
      <c r="K53" s="2">
        <f t="shared" si="0"/>
        <v>2</v>
      </c>
    </row>
    <row r="54" spans="1:11">
      <c r="A54" s="2" t="str">
        <f>"406510010"</f>
        <v>406510010</v>
      </c>
      <c r="B54" s="2" t="s">
        <v>2182</v>
      </c>
      <c r="E54" s="2">
        <v>1</v>
      </c>
      <c r="F54" s="2">
        <v>1</v>
      </c>
      <c r="H54" s="2">
        <v>1</v>
      </c>
      <c r="K54" s="2">
        <f t="shared" si="0"/>
        <v>3</v>
      </c>
    </row>
    <row r="55" spans="1:11">
      <c r="A55" s="2" t="str">
        <f>"406510012"</f>
        <v>406510012</v>
      </c>
      <c r="B55" s="2" t="s">
        <v>2183</v>
      </c>
      <c r="E55" s="2">
        <v>1</v>
      </c>
      <c r="F55" s="2">
        <v>1</v>
      </c>
      <c r="H55" s="2">
        <v>1</v>
      </c>
      <c r="K55" s="2">
        <f t="shared" si="0"/>
        <v>3</v>
      </c>
    </row>
    <row r="56" spans="1:11">
      <c r="A56" s="2" t="str">
        <f>"406510014"</f>
        <v>406510014</v>
      </c>
      <c r="B56" s="2" t="s">
        <v>2184</v>
      </c>
      <c r="C56" s="2">
        <v>1</v>
      </c>
      <c r="E56" s="2">
        <v>1</v>
      </c>
      <c r="H56" s="2">
        <v>1</v>
      </c>
      <c r="K56" s="2">
        <f t="shared" si="0"/>
        <v>3</v>
      </c>
    </row>
    <row r="57" spans="1:11">
      <c r="A57" s="2" t="str">
        <f>"406510016"</f>
        <v>406510016</v>
      </c>
      <c r="B57" s="2" t="s">
        <v>2185</v>
      </c>
      <c r="C57" s="2">
        <v>1</v>
      </c>
      <c r="E57" s="2">
        <v>1</v>
      </c>
      <c r="H57" s="2">
        <v>1</v>
      </c>
      <c r="K57" s="2">
        <f t="shared" si="0"/>
        <v>3</v>
      </c>
    </row>
    <row r="58" spans="1:11">
      <c r="A58" s="2" t="str">
        <f>"406510018"</f>
        <v>406510018</v>
      </c>
      <c r="B58" s="2" t="s">
        <v>2186</v>
      </c>
      <c r="E58" s="2">
        <v>1</v>
      </c>
      <c r="F58" s="2">
        <v>1</v>
      </c>
      <c r="K58" s="2">
        <f t="shared" si="0"/>
        <v>2</v>
      </c>
    </row>
    <row r="59" spans="1:11">
      <c r="A59" s="2" t="str">
        <f>"406510020"</f>
        <v>406510020</v>
      </c>
      <c r="B59" s="2" t="s">
        <v>2066</v>
      </c>
      <c r="K59" s="2">
        <f t="shared" si="0"/>
        <v>0</v>
      </c>
    </row>
    <row r="60" spans="1:11">
      <c r="A60" s="2" t="str">
        <f>"406510022"</f>
        <v>406510022</v>
      </c>
      <c r="B60" s="2" t="s">
        <v>2187</v>
      </c>
      <c r="D60" s="2">
        <v>1</v>
      </c>
      <c r="E60" s="2">
        <v>1</v>
      </c>
      <c r="F60" s="2">
        <v>1</v>
      </c>
      <c r="K60" s="2">
        <f t="shared" si="0"/>
        <v>3</v>
      </c>
    </row>
    <row r="61" spans="1:11">
      <c r="A61" s="2" t="str">
        <f>"406510024"</f>
        <v>406510024</v>
      </c>
      <c r="B61" s="2" t="s">
        <v>2067</v>
      </c>
      <c r="E61" s="2">
        <v>1</v>
      </c>
      <c r="K61" s="2">
        <f t="shared" si="0"/>
        <v>1</v>
      </c>
    </row>
    <row r="62" spans="1:11">
      <c r="A62" s="2" t="str">
        <f>"406510026"</f>
        <v>406510026</v>
      </c>
      <c r="B62" s="2" t="s">
        <v>2188</v>
      </c>
      <c r="E62" s="2">
        <v>1</v>
      </c>
      <c r="F62" s="2">
        <v>1</v>
      </c>
      <c r="H62" s="2">
        <v>1</v>
      </c>
      <c r="K62" s="2">
        <f t="shared" si="0"/>
        <v>3</v>
      </c>
    </row>
    <row r="63" spans="1:11">
      <c r="A63" s="2" t="str">
        <f>"406510028"</f>
        <v>406510028</v>
      </c>
      <c r="B63" s="2" t="s">
        <v>2189</v>
      </c>
      <c r="E63" s="2">
        <v>1</v>
      </c>
      <c r="F63" s="2">
        <v>1</v>
      </c>
      <c r="K63" s="2">
        <f t="shared" si="0"/>
        <v>2</v>
      </c>
    </row>
    <row r="64" spans="1:11">
      <c r="A64" s="2" t="str">
        <f>"406510030"</f>
        <v>406510030</v>
      </c>
      <c r="B64" s="2" t="s">
        <v>2190</v>
      </c>
      <c r="E64" s="2">
        <v>1</v>
      </c>
      <c r="H64" s="2">
        <v>1</v>
      </c>
      <c r="K64" s="2">
        <f t="shared" si="0"/>
        <v>2</v>
      </c>
    </row>
    <row r="65" spans="1:11">
      <c r="A65" s="2" t="str">
        <f>"406510032"</f>
        <v>406510032</v>
      </c>
      <c r="B65" s="2" t="s">
        <v>2191</v>
      </c>
      <c r="E65" s="2">
        <v>1</v>
      </c>
      <c r="F65" s="2">
        <v>1</v>
      </c>
      <c r="H65" s="2">
        <v>1</v>
      </c>
      <c r="K65" s="2">
        <f t="shared" si="0"/>
        <v>3</v>
      </c>
    </row>
    <row r="66" spans="1:11">
      <c r="A66" s="2" t="str">
        <f>"406510036"</f>
        <v>406510036</v>
      </c>
      <c r="B66" s="2" t="s">
        <v>2192</v>
      </c>
      <c r="E66" s="2">
        <v>1</v>
      </c>
      <c r="F66" s="2">
        <v>1</v>
      </c>
      <c r="K66" s="2">
        <f t="shared" si="0"/>
        <v>2</v>
      </c>
    </row>
    <row r="67" spans="1:11">
      <c r="A67" s="2" t="str">
        <f>"406510040"</f>
        <v>406510040</v>
      </c>
      <c r="B67" s="2" t="s">
        <v>2193</v>
      </c>
      <c r="E67" s="2">
        <v>1</v>
      </c>
      <c r="F67" s="2">
        <v>1</v>
      </c>
      <c r="H67" s="2">
        <v>1</v>
      </c>
      <c r="K67" s="2">
        <f t="shared" si="0"/>
        <v>3</v>
      </c>
    </row>
    <row r="68" spans="1:11">
      <c r="A68" s="2" t="str">
        <f>"406510042"</f>
        <v>406510042</v>
      </c>
      <c r="B68" s="2" t="s">
        <v>2194</v>
      </c>
      <c r="E68" s="2">
        <v>1</v>
      </c>
      <c r="H68" s="2">
        <v>1</v>
      </c>
      <c r="K68" s="2">
        <f t="shared" si="0"/>
        <v>2</v>
      </c>
    </row>
    <row r="69" spans="1:11">
      <c r="A69" s="2" t="str">
        <f>"406510044"</f>
        <v>406510044</v>
      </c>
      <c r="B69" s="2" t="s">
        <v>2195</v>
      </c>
      <c r="E69" s="2">
        <v>1</v>
      </c>
      <c r="F69" s="2">
        <v>1</v>
      </c>
      <c r="H69" s="2">
        <v>1</v>
      </c>
      <c r="K69" s="2">
        <f t="shared" ref="K69:K105" si="1">SUM(C69:J69)</f>
        <v>3</v>
      </c>
    </row>
    <row r="70" spans="1:11">
      <c r="A70" s="2" t="str">
        <f>"406510046"</f>
        <v>406510046</v>
      </c>
      <c r="B70" s="2" t="s">
        <v>2196</v>
      </c>
      <c r="C70" s="2">
        <v>1</v>
      </c>
      <c r="E70" s="2">
        <v>1</v>
      </c>
      <c r="H70" s="2">
        <v>1</v>
      </c>
      <c r="K70" s="2">
        <f t="shared" si="1"/>
        <v>3</v>
      </c>
    </row>
    <row r="71" spans="1:11">
      <c r="A71" s="2" t="str">
        <f>"406510048"</f>
        <v>406510048</v>
      </c>
      <c r="B71" s="2" t="s">
        <v>2197</v>
      </c>
      <c r="E71" s="2">
        <v>1</v>
      </c>
      <c r="F71" s="2">
        <v>1</v>
      </c>
      <c r="H71" s="2">
        <v>1</v>
      </c>
      <c r="K71" s="2">
        <f t="shared" si="1"/>
        <v>3</v>
      </c>
    </row>
    <row r="72" spans="1:11">
      <c r="A72" s="2" t="str">
        <f>"406510050"</f>
        <v>406510050</v>
      </c>
      <c r="B72" s="2" t="s">
        <v>2198</v>
      </c>
      <c r="E72" s="2">
        <v>1</v>
      </c>
      <c r="K72" s="2">
        <f t="shared" si="1"/>
        <v>1</v>
      </c>
    </row>
    <row r="73" spans="1:11">
      <c r="A73" s="2" t="str">
        <f>"406510052"</f>
        <v>406510052</v>
      </c>
      <c r="B73" s="2" t="s">
        <v>2199</v>
      </c>
      <c r="K73" s="2">
        <f t="shared" si="1"/>
        <v>0</v>
      </c>
    </row>
    <row r="74" spans="1:11">
      <c r="A74" s="2" t="str">
        <f>"406510058"</f>
        <v>406510058</v>
      </c>
      <c r="B74" s="2" t="s">
        <v>2200</v>
      </c>
      <c r="K74" s="2">
        <f t="shared" si="1"/>
        <v>0</v>
      </c>
    </row>
    <row r="75" spans="1:11">
      <c r="A75" s="2" t="str">
        <f>"406510060"</f>
        <v>406510060</v>
      </c>
      <c r="B75" s="2" t="s">
        <v>2201</v>
      </c>
      <c r="F75" s="2">
        <v>1</v>
      </c>
      <c r="K75" s="2">
        <f t="shared" si="1"/>
        <v>1</v>
      </c>
    </row>
    <row r="76" spans="1:11">
      <c r="A76" s="2" t="str">
        <f>"406510062"</f>
        <v>406510062</v>
      </c>
      <c r="B76" s="2" t="s">
        <v>2202</v>
      </c>
      <c r="D76" s="2">
        <v>1</v>
      </c>
      <c r="F76" s="2">
        <v>1</v>
      </c>
      <c r="H76" s="2">
        <v>1</v>
      </c>
      <c r="K76" s="2">
        <f t="shared" si="1"/>
        <v>3</v>
      </c>
    </row>
    <row r="77" spans="1:11">
      <c r="A77" s="2" t="str">
        <f>"406510064"</f>
        <v>406510064</v>
      </c>
      <c r="B77" s="2" t="s">
        <v>2203</v>
      </c>
      <c r="K77" s="2">
        <f t="shared" si="1"/>
        <v>0</v>
      </c>
    </row>
    <row r="78" spans="1:11">
      <c r="A78" s="2" t="str">
        <f>"406510066"</f>
        <v>406510066</v>
      </c>
      <c r="B78" s="2" t="s">
        <v>2204</v>
      </c>
      <c r="E78" s="2">
        <v>1</v>
      </c>
      <c r="H78" s="2">
        <v>1</v>
      </c>
      <c r="K78" s="2">
        <f t="shared" si="1"/>
        <v>2</v>
      </c>
    </row>
    <row r="79" spans="1:11">
      <c r="A79" s="2" t="str">
        <f>"406510068"</f>
        <v>406510068</v>
      </c>
      <c r="B79" s="2" t="s">
        <v>2205</v>
      </c>
      <c r="E79" s="2">
        <v>1</v>
      </c>
      <c r="F79" s="2">
        <v>1</v>
      </c>
      <c r="K79" s="2">
        <f t="shared" si="1"/>
        <v>2</v>
      </c>
    </row>
    <row r="80" spans="1:11">
      <c r="A80" s="2" t="str">
        <f>"406510072"</f>
        <v>406510072</v>
      </c>
      <c r="B80" s="2" t="s">
        <v>2070</v>
      </c>
      <c r="K80" s="2">
        <f t="shared" si="1"/>
        <v>0</v>
      </c>
    </row>
    <row r="81" spans="1:11">
      <c r="A81" s="2" t="str">
        <f>"406510074"</f>
        <v>406510074</v>
      </c>
      <c r="B81" s="2" t="s">
        <v>2206</v>
      </c>
      <c r="C81" s="2">
        <v>1</v>
      </c>
      <c r="E81" s="2">
        <v>1</v>
      </c>
      <c r="F81" s="2">
        <v>1</v>
      </c>
      <c r="H81" s="2">
        <v>1</v>
      </c>
      <c r="K81" s="2">
        <f t="shared" si="1"/>
        <v>4</v>
      </c>
    </row>
    <row r="82" spans="1:11">
      <c r="A82" s="2" t="str">
        <f>"406510076"</f>
        <v>406510076</v>
      </c>
      <c r="B82" s="2" t="s">
        <v>2207</v>
      </c>
      <c r="E82" s="2">
        <v>1</v>
      </c>
      <c r="F82" s="2">
        <v>1</v>
      </c>
      <c r="K82" s="2">
        <f t="shared" si="1"/>
        <v>2</v>
      </c>
    </row>
    <row r="83" spans="1:11">
      <c r="A83" s="2" t="str">
        <f>"406510078"</f>
        <v>406510078</v>
      </c>
      <c r="B83" s="2" t="s">
        <v>2208</v>
      </c>
      <c r="E83" s="2">
        <v>1</v>
      </c>
      <c r="H83" s="2">
        <v>1</v>
      </c>
      <c r="K83" s="2">
        <f t="shared" si="1"/>
        <v>2</v>
      </c>
    </row>
    <row r="84" spans="1:11">
      <c r="A84" s="2" t="str">
        <f>"406510080"</f>
        <v>406510080</v>
      </c>
      <c r="B84" s="2" t="s">
        <v>2209</v>
      </c>
      <c r="E84" s="2">
        <v>1</v>
      </c>
      <c r="F84" s="2">
        <v>1</v>
      </c>
      <c r="H84" s="2">
        <v>1</v>
      </c>
      <c r="K84" s="2">
        <f t="shared" si="1"/>
        <v>3</v>
      </c>
    </row>
    <row r="85" spans="1:11">
      <c r="A85" s="2" t="str">
        <f>"406510082"</f>
        <v>406510082</v>
      </c>
      <c r="B85" s="2" t="s">
        <v>2210</v>
      </c>
      <c r="C85" s="2">
        <v>1</v>
      </c>
      <c r="E85" s="2">
        <v>1</v>
      </c>
      <c r="F85" s="2">
        <v>1</v>
      </c>
      <c r="K85" s="2">
        <f t="shared" si="1"/>
        <v>3</v>
      </c>
    </row>
    <row r="86" spans="1:11">
      <c r="A86" s="2" t="str">
        <f>"406510084"</f>
        <v>406510084</v>
      </c>
      <c r="B86" s="2" t="s">
        <v>2211</v>
      </c>
      <c r="E86" s="2">
        <v>1</v>
      </c>
      <c r="K86" s="2">
        <f t="shared" si="1"/>
        <v>1</v>
      </c>
    </row>
    <row r="87" spans="1:11">
      <c r="A87" s="2" t="str">
        <f>"406510086"</f>
        <v>406510086</v>
      </c>
      <c r="B87" s="2" t="s">
        <v>2212</v>
      </c>
      <c r="E87" s="2">
        <v>1</v>
      </c>
      <c r="F87" s="2">
        <v>1</v>
      </c>
      <c r="H87" s="2">
        <v>1</v>
      </c>
      <c r="K87" s="2">
        <f t="shared" si="1"/>
        <v>3</v>
      </c>
    </row>
    <row r="88" spans="1:11">
      <c r="A88" s="2" t="str">
        <f>"406510088"</f>
        <v>406510088</v>
      </c>
      <c r="B88" s="2" t="s">
        <v>2213</v>
      </c>
      <c r="D88" s="2">
        <v>1</v>
      </c>
      <c r="E88" s="2">
        <v>1</v>
      </c>
      <c r="F88" s="2">
        <v>1</v>
      </c>
      <c r="H88" s="2">
        <v>1</v>
      </c>
      <c r="K88" s="2">
        <f t="shared" si="1"/>
        <v>4</v>
      </c>
    </row>
    <row r="89" spans="1:11">
      <c r="A89" s="2" t="str">
        <f>"406510090"</f>
        <v>406510090</v>
      </c>
      <c r="B89" s="2" t="s">
        <v>2214</v>
      </c>
      <c r="E89" s="2">
        <v>1</v>
      </c>
      <c r="F89" s="2">
        <v>1</v>
      </c>
      <c r="H89" s="2">
        <v>1</v>
      </c>
      <c r="K89" s="2">
        <f t="shared" si="1"/>
        <v>3</v>
      </c>
    </row>
    <row r="90" spans="1:11">
      <c r="A90" s="2" t="str">
        <f>"406510092"</f>
        <v>406510092</v>
      </c>
      <c r="B90" s="2" t="s">
        <v>2215</v>
      </c>
      <c r="E90" s="2">
        <v>1</v>
      </c>
      <c r="F90" s="2">
        <v>1</v>
      </c>
      <c r="K90" s="2">
        <f t="shared" si="1"/>
        <v>2</v>
      </c>
    </row>
    <row r="91" spans="1:11">
      <c r="A91" s="2" t="str">
        <f>"406510096"</f>
        <v>406510096</v>
      </c>
      <c r="B91" s="2" t="s">
        <v>2216</v>
      </c>
      <c r="E91" s="2">
        <v>1</v>
      </c>
      <c r="K91" s="2">
        <f t="shared" si="1"/>
        <v>1</v>
      </c>
    </row>
    <row r="92" spans="1:11">
      <c r="A92" s="2" t="str">
        <f>"406510098"</f>
        <v>406510098</v>
      </c>
      <c r="B92" s="2" t="s">
        <v>2217</v>
      </c>
      <c r="E92" s="2">
        <v>1</v>
      </c>
      <c r="F92" s="2">
        <v>1</v>
      </c>
      <c r="H92" s="2">
        <v>1</v>
      </c>
      <c r="K92" s="2">
        <f t="shared" si="1"/>
        <v>3</v>
      </c>
    </row>
    <row r="93" spans="1:11">
      <c r="A93" s="2" t="str">
        <f>"406510100"</f>
        <v>406510100</v>
      </c>
      <c r="B93" s="2" t="s">
        <v>2218</v>
      </c>
      <c r="E93" s="2">
        <v>1</v>
      </c>
      <c r="F93" s="2">
        <v>1</v>
      </c>
      <c r="K93" s="2">
        <f t="shared" si="1"/>
        <v>2</v>
      </c>
    </row>
    <row r="94" spans="1:11">
      <c r="A94" s="2" t="str">
        <f>"406510102"</f>
        <v>406510102</v>
      </c>
      <c r="B94" s="2" t="s">
        <v>2219</v>
      </c>
      <c r="C94" s="2">
        <v>1</v>
      </c>
      <c r="E94" s="2">
        <v>1</v>
      </c>
      <c r="F94" s="2">
        <v>1</v>
      </c>
      <c r="H94" s="2">
        <v>1</v>
      </c>
      <c r="K94" s="2">
        <f t="shared" si="1"/>
        <v>4</v>
      </c>
    </row>
    <row r="95" spans="1:11">
      <c r="A95" s="2" t="str">
        <f>"406510104"</f>
        <v>406510104</v>
      </c>
      <c r="B95" s="2" t="s">
        <v>2220</v>
      </c>
      <c r="C95" s="2">
        <v>1</v>
      </c>
      <c r="E95" s="2">
        <v>1</v>
      </c>
      <c r="F95" s="2">
        <v>1</v>
      </c>
      <c r="H95" s="2">
        <v>1</v>
      </c>
      <c r="K95" s="2">
        <f t="shared" si="1"/>
        <v>4</v>
      </c>
    </row>
    <row r="96" spans="1:11">
      <c r="A96" s="2" t="str">
        <f>"406510106"</f>
        <v>406510106</v>
      </c>
      <c r="B96" s="2" t="s">
        <v>2221</v>
      </c>
      <c r="C96" s="2">
        <v>1</v>
      </c>
      <c r="E96" s="2">
        <v>1</v>
      </c>
      <c r="F96" s="2">
        <v>1</v>
      </c>
      <c r="H96" s="2">
        <v>1</v>
      </c>
      <c r="K96" s="2">
        <f t="shared" si="1"/>
        <v>4</v>
      </c>
    </row>
    <row r="97" spans="1:12">
      <c r="A97" s="2" t="str">
        <f>"406510108"</f>
        <v>406510108</v>
      </c>
      <c r="B97" s="2" t="s">
        <v>2222</v>
      </c>
      <c r="C97" s="2">
        <v>1</v>
      </c>
      <c r="E97" s="2">
        <v>1</v>
      </c>
      <c r="F97" s="2">
        <v>1</v>
      </c>
      <c r="H97" s="2">
        <v>1</v>
      </c>
      <c r="K97" s="2">
        <f t="shared" si="1"/>
        <v>4</v>
      </c>
    </row>
    <row r="98" spans="1:12">
      <c r="A98" s="124">
        <v>406510114</v>
      </c>
      <c r="B98" s="2" t="s">
        <v>2223</v>
      </c>
      <c r="H98" s="2">
        <v>1</v>
      </c>
      <c r="K98" s="2">
        <f t="shared" si="1"/>
        <v>1</v>
      </c>
    </row>
    <row r="99" spans="1:12">
      <c r="A99" s="124">
        <v>406510116</v>
      </c>
      <c r="B99" s="2" t="s">
        <v>2224</v>
      </c>
      <c r="H99" s="2">
        <v>1</v>
      </c>
      <c r="K99" s="2">
        <f t="shared" si="1"/>
        <v>1</v>
      </c>
    </row>
    <row r="100" spans="1:12">
      <c r="A100" s="98">
        <v>406510117</v>
      </c>
      <c r="B100" s="98" t="s">
        <v>2225</v>
      </c>
      <c r="I100" s="2">
        <v>1</v>
      </c>
      <c r="K100" s="2">
        <f t="shared" si="1"/>
        <v>1</v>
      </c>
    </row>
    <row r="101" spans="1:12">
      <c r="A101" s="98">
        <v>406510121</v>
      </c>
      <c r="B101" s="105" t="s">
        <v>2226</v>
      </c>
      <c r="K101" s="2">
        <f t="shared" si="1"/>
        <v>0</v>
      </c>
    </row>
    <row r="102" spans="1:12">
      <c r="A102" s="98">
        <v>406510123</v>
      </c>
      <c r="B102" s="105" t="s">
        <v>2227</v>
      </c>
      <c r="K102" s="2">
        <f t="shared" si="1"/>
        <v>0</v>
      </c>
    </row>
    <row r="103" spans="1:12">
      <c r="A103" s="98">
        <v>406510118</v>
      </c>
      <c r="B103" s="98" t="s">
        <v>2228</v>
      </c>
      <c r="K103" s="2">
        <f t="shared" si="1"/>
        <v>0</v>
      </c>
    </row>
    <row r="104" spans="1:12">
      <c r="A104" s="98">
        <v>406510120</v>
      </c>
      <c r="B104" s="98" t="s">
        <v>2229</v>
      </c>
      <c r="K104" s="2">
        <f t="shared" si="1"/>
        <v>0</v>
      </c>
    </row>
    <row r="105" spans="1:12">
      <c r="A105" s="98">
        <v>406510122</v>
      </c>
      <c r="B105" s="105" t="s">
        <v>2230</v>
      </c>
      <c r="K105" s="2">
        <f t="shared" si="1"/>
        <v>0</v>
      </c>
    </row>
    <row r="106" spans="1:12">
      <c r="A106" s="124"/>
    </row>
    <row r="107" spans="1:12">
      <c r="A107" s="124"/>
    </row>
    <row r="108" spans="1:12">
      <c r="A108" s="4"/>
      <c r="B108" s="2" t="s">
        <v>2231</v>
      </c>
      <c r="C108" s="2">
        <f>MEDIAN(K4:K105)</f>
        <v>3</v>
      </c>
    </row>
    <row r="111" spans="1:12">
      <c r="A111" s="2" t="s">
        <v>1523</v>
      </c>
      <c r="B111" s="2" t="s">
        <v>2232</v>
      </c>
    </row>
    <row r="112" spans="1:12">
      <c r="A112" s="4" t="s">
        <v>2233</v>
      </c>
      <c r="B112" s="4"/>
      <c r="C112" s="4"/>
      <c r="D112" s="4"/>
      <c r="L112" s="91"/>
    </row>
    <row r="113" spans="1:1">
      <c r="A113" s="116" t="s">
        <v>2234</v>
      </c>
    </row>
    <row r="114" spans="1:1">
      <c r="A114" s="116" t="s">
        <v>2235</v>
      </c>
    </row>
    <row r="115" spans="1:1">
      <c r="A115" s="2" t="s">
        <v>2236</v>
      </c>
    </row>
    <row r="116" spans="1:1">
      <c r="A116" s="2" t="s">
        <v>2237</v>
      </c>
    </row>
    <row r="117" spans="1:1">
      <c r="A117" s="2" t="s">
        <v>2238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opLeftCell="A103" workbookViewId="0">
      <selection activeCell="K124" sqref="K124"/>
    </sheetView>
  </sheetViews>
  <sheetFormatPr defaultRowHeight="16.2"/>
  <cols>
    <col min="1" max="1" width="11.77734375" style="4" customWidth="1"/>
    <col min="2" max="2" width="10.33203125" style="4" customWidth="1"/>
    <col min="3" max="10" width="9" style="2"/>
    <col min="11" max="13" width="8.88671875" style="2"/>
    <col min="14" max="14" width="9" style="2"/>
  </cols>
  <sheetData>
    <row r="1" spans="1:18">
      <c r="A1" s="4" t="s">
        <v>1635</v>
      </c>
      <c r="C1" s="86">
        <f>MAX(N2:N109)</f>
        <v>3</v>
      </c>
      <c r="G1" s="45"/>
      <c r="N1" s="85"/>
    </row>
    <row r="2" spans="1:18">
      <c r="A2" s="104" t="s">
        <v>1528</v>
      </c>
      <c r="B2" s="104" t="s">
        <v>1529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108" t="s">
        <v>1643</v>
      </c>
      <c r="O2" s="7"/>
      <c r="P2" s="7"/>
      <c r="Q2" s="7"/>
      <c r="R2" s="7"/>
    </row>
    <row r="3" spans="1:18">
      <c r="A3" s="4" t="str">
        <f>"403510076"</f>
        <v>403510076</v>
      </c>
      <c r="B3" s="4" t="s">
        <v>1530</v>
      </c>
      <c r="N3" s="2">
        <f>SUM(C3:M3)</f>
        <v>0</v>
      </c>
    </row>
    <row r="4" spans="1:18">
      <c r="A4" s="4" t="str">
        <f>"404510063"</f>
        <v>404510063</v>
      </c>
      <c r="B4" s="4" t="s">
        <v>1531</v>
      </c>
      <c r="N4" s="2">
        <f t="shared" ref="N4:N67" si="0">SUM(C4:M4)</f>
        <v>0</v>
      </c>
    </row>
    <row r="5" spans="1:18">
      <c r="A5" s="4" t="str">
        <f>"404510066"</f>
        <v>404510066</v>
      </c>
      <c r="B5" s="4" t="s">
        <v>1532</v>
      </c>
      <c r="N5" s="2">
        <f t="shared" si="0"/>
        <v>0</v>
      </c>
    </row>
    <row r="6" spans="1:18">
      <c r="A6" s="4" t="str">
        <f>"404510068"</f>
        <v>404510068</v>
      </c>
      <c r="B6" s="4" t="s">
        <v>1533</v>
      </c>
      <c r="N6" s="2">
        <f t="shared" si="0"/>
        <v>0</v>
      </c>
    </row>
    <row r="7" spans="1:18">
      <c r="A7" s="4" t="str">
        <f>"404510087"</f>
        <v>404510087</v>
      </c>
      <c r="B7" s="4" t="s">
        <v>1534</v>
      </c>
      <c r="N7" s="2">
        <f t="shared" si="0"/>
        <v>0</v>
      </c>
    </row>
    <row r="8" spans="1:18">
      <c r="A8" s="4" t="str">
        <f>"404510102"</f>
        <v>404510102</v>
      </c>
      <c r="B8" s="4" t="s">
        <v>1535</v>
      </c>
      <c r="N8" s="2">
        <f t="shared" si="0"/>
        <v>0</v>
      </c>
    </row>
    <row r="9" spans="1:18">
      <c r="A9" s="4" t="str">
        <f>"405510001"</f>
        <v>405510001</v>
      </c>
      <c r="B9" s="4" t="s">
        <v>1536</v>
      </c>
      <c r="N9" s="2">
        <f t="shared" si="0"/>
        <v>0</v>
      </c>
    </row>
    <row r="10" spans="1:18">
      <c r="A10" s="4" t="str">
        <f>"405510002"</f>
        <v>405510002</v>
      </c>
      <c r="B10" s="4" t="s">
        <v>1537</v>
      </c>
      <c r="D10" s="2">
        <v>1</v>
      </c>
      <c r="E10" s="2">
        <v>1</v>
      </c>
      <c r="K10" s="2">
        <v>1</v>
      </c>
      <c r="N10" s="2">
        <f t="shared" si="0"/>
        <v>3</v>
      </c>
    </row>
    <row r="11" spans="1:18">
      <c r="A11" s="4" t="str">
        <f>"405510003"</f>
        <v>405510003</v>
      </c>
      <c r="B11" s="4" t="s">
        <v>1538</v>
      </c>
      <c r="K11" s="2">
        <v>1</v>
      </c>
      <c r="N11" s="2">
        <f t="shared" si="0"/>
        <v>1</v>
      </c>
    </row>
    <row r="12" spans="1:18">
      <c r="A12" s="4" t="str">
        <f>"405510004"</f>
        <v>405510004</v>
      </c>
      <c r="B12" s="4" t="s">
        <v>1539</v>
      </c>
      <c r="K12" s="2">
        <v>1</v>
      </c>
      <c r="N12" s="2">
        <f t="shared" si="0"/>
        <v>1</v>
      </c>
    </row>
    <row r="13" spans="1:18">
      <c r="A13" s="4" t="str">
        <f>"405510005"</f>
        <v>405510005</v>
      </c>
      <c r="B13" s="4" t="s">
        <v>1540</v>
      </c>
      <c r="E13" s="2">
        <v>1</v>
      </c>
      <c r="K13" s="2">
        <v>1</v>
      </c>
      <c r="N13" s="2">
        <f t="shared" si="0"/>
        <v>2</v>
      </c>
    </row>
    <row r="14" spans="1:18">
      <c r="A14" s="4" t="str">
        <f>"405510006"</f>
        <v>405510006</v>
      </c>
      <c r="B14" s="4" t="s">
        <v>1541</v>
      </c>
      <c r="D14" s="2">
        <v>1</v>
      </c>
      <c r="K14" s="2">
        <v>1</v>
      </c>
      <c r="N14" s="2">
        <f t="shared" si="0"/>
        <v>2</v>
      </c>
    </row>
    <row r="15" spans="1:18">
      <c r="A15" s="4" t="str">
        <f>"405510007"</f>
        <v>405510007</v>
      </c>
      <c r="B15" s="4" t="s">
        <v>1542</v>
      </c>
      <c r="E15" s="2">
        <v>1</v>
      </c>
      <c r="K15" s="2">
        <v>1</v>
      </c>
      <c r="N15" s="2">
        <f t="shared" si="0"/>
        <v>2</v>
      </c>
    </row>
    <row r="16" spans="1:18">
      <c r="A16" s="4" t="str">
        <f>"405510008"</f>
        <v>405510008</v>
      </c>
      <c r="B16" s="4" t="s">
        <v>1543</v>
      </c>
      <c r="K16" s="2">
        <v>1</v>
      </c>
      <c r="N16" s="2">
        <f t="shared" si="0"/>
        <v>1</v>
      </c>
    </row>
    <row r="17" spans="1:14">
      <c r="A17" s="4" t="str">
        <f>"405510009"</f>
        <v>405510009</v>
      </c>
      <c r="B17" s="4" t="s">
        <v>1544</v>
      </c>
      <c r="E17" s="2">
        <v>1</v>
      </c>
      <c r="K17" s="2">
        <v>1</v>
      </c>
      <c r="N17" s="2">
        <f t="shared" si="0"/>
        <v>2</v>
      </c>
    </row>
    <row r="18" spans="1:14">
      <c r="A18" s="4" t="str">
        <f>"405510010"</f>
        <v>405510010</v>
      </c>
      <c r="B18" s="4" t="s">
        <v>1545</v>
      </c>
      <c r="E18" s="2">
        <v>1</v>
      </c>
      <c r="K18" s="2">
        <v>1</v>
      </c>
      <c r="N18" s="2">
        <f t="shared" si="0"/>
        <v>2</v>
      </c>
    </row>
    <row r="19" spans="1:14">
      <c r="A19" s="4" t="str">
        <f>"405510011"</f>
        <v>405510011</v>
      </c>
      <c r="B19" s="4" t="s">
        <v>1546</v>
      </c>
      <c r="E19" s="2">
        <v>1</v>
      </c>
      <c r="K19" s="2">
        <v>1</v>
      </c>
      <c r="N19" s="2">
        <f t="shared" si="0"/>
        <v>2</v>
      </c>
    </row>
    <row r="20" spans="1:14">
      <c r="A20" s="4" t="str">
        <f>"405510013"</f>
        <v>405510013</v>
      </c>
      <c r="B20" s="4" t="s">
        <v>1547</v>
      </c>
      <c r="E20" s="2">
        <v>1</v>
      </c>
      <c r="N20" s="2">
        <f t="shared" si="0"/>
        <v>1</v>
      </c>
    </row>
    <row r="21" spans="1:14">
      <c r="A21" s="4" t="str">
        <f>"405510014"</f>
        <v>405510014</v>
      </c>
      <c r="B21" s="4" t="s">
        <v>1548</v>
      </c>
      <c r="D21" s="2">
        <v>1</v>
      </c>
      <c r="E21" s="2">
        <v>1</v>
      </c>
      <c r="K21" s="2">
        <v>1</v>
      </c>
      <c r="N21" s="2">
        <f t="shared" si="0"/>
        <v>3</v>
      </c>
    </row>
    <row r="22" spans="1:14">
      <c r="A22" s="4" t="str">
        <f>"405510015"</f>
        <v>405510015</v>
      </c>
      <c r="B22" s="4" t="s">
        <v>1549</v>
      </c>
      <c r="D22" s="2">
        <v>1</v>
      </c>
      <c r="E22" s="2">
        <v>1</v>
      </c>
      <c r="K22" s="2">
        <v>1</v>
      </c>
      <c r="N22" s="2">
        <f t="shared" si="0"/>
        <v>3</v>
      </c>
    </row>
    <row r="23" spans="1:14">
      <c r="A23" s="4" t="str">
        <f>"405510016"</f>
        <v>405510016</v>
      </c>
      <c r="B23" s="4" t="s">
        <v>1550</v>
      </c>
      <c r="E23" s="2">
        <v>1</v>
      </c>
      <c r="K23" s="2">
        <v>1</v>
      </c>
      <c r="M23" s="2">
        <v>1</v>
      </c>
      <c r="N23" s="2">
        <f t="shared" si="0"/>
        <v>3</v>
      </c>
    </row>
    <row r="24" spans="1:14">
      <c r="A24" s="4" t="str">
        <f>"405510017"</f>
        <v>405510017</v>
      </c>
      <c r="B24" s="4" t="s">
        <v>1551</v>
      </c>
      <c r="K24" s="2">
        <v>1</v>
      </c>
      <c r="N24" s="2">
        <f t="shared" si="0"/>
        <v>1</v>
      </c>
    </row>
    <row r="25" spans="1:14">
      <c r="A25" s="4" t="str">
        <f>"405510018"</f>
        <v>405510018</v>
      </c>
      <c r="B25" s="4" t="s">
        <v>1552</v>
      </c>
      <c r="E25" s="2">
        <v>1</v>
      </c>
      <c r="K25" s="2">
        <v>1</v>
      </c>
      <c r="N25" s="2">
        <f t="shared" si="0"/>
        <v>2</v>
      </c>
    </row>
    <row r="26" spans="1:14">
      <c r="A26" s="4" t="str">
        <f>"405510019"</f>
        <v>405510019</v>
      </c>
      <c r="B26" s="4" t="s">
        <v>1553</v>
      </c>
      <c r="D26" s="2">
        <v>1</v>
      </c>
      <c r="E26" s="2">
        <v>1</v>
      </c>
      <c r="K26" s="2">
        <v>1</v>
      </c>
      <c r="N26" s="2">
        <f t="shared" si="0"/>
        <v>3</v>
      </c>
    </row>
    <row r="27" spans="1:14">
      <c r="A27" s="4" t="str">
        <f>"405510020"</f>
        <v>405510020</v>
      </c>
      <c r="B27" s="4" t="s">
        <v>1554</v>
      </c>
      <c r="K27" s="2">
        <v>1</v>
      </c>
      <c r="N27" s="2">
        <f t="shared" si="0"/>
        <v>1</v>
      </c>
    </row>
    <row r="28" spans="1:14">
      <c r="A28" s="4" t="str">
        <f>"405510021"</f>
        <v>405510021</v>
      </c>
      <c r="B28" s="4" t="s">
        <v>1555</v>
      </c>
      <c r="D28" s="2">
        <v>1</v>
      </c>
      <c r="E28" s="2">
        <v>1</v>
      </c>
      <c r="K28" s="2">
        <v>1</v>
      </c>
      <c r="N28" s="2">
        <f t="shared" si="0"/>
        <v>3</v>
      </c>
    </row>
    <row r="29" spans="1:14">
      <c r="A29" s="4" t="str">
        <f>"405510022"</f>
        <v>405510022</v>
      </c>
      <c r="B29" s="4" t="s">
        <v>1556</v>
      </c>
      <c r="N29" s="2">
        <f t="shared" si="0"/>
        <v>0</v>
      </c>
    </row>
    <row r="30" spans="1:14">
      <c r="A30" s="4" t="str">
        <f>"405510023"</f>
        <v>405510023</v>
      </c>
      <c r="B30" s="4" t="s">
        <v>1557</v>
      </c>
      <c r="E30" s="2">
        <v>1</v>
      </c>
      <c r="N30" s="2">
        <f t="shared" si="0"/>
        <v>1</v>
      </c>
    </row>
    <row r="31" spans="1:14">
      <c r="A31" s="4" t="str">
        <f>"405510024"</f>
        <v>405510024</v>
      </c>
      <c r="B31" s="4" t="s">
        <v>1558</v>
      </c>
      <c r="C31" s="2">
        <v>1</v>
      </c>
      <c r="K31" s="2">
        <v>1</v>
      </c>
      <c r="N31" s="2">
        <f t="shared" si="0"/>
        <v>2</v>
      </c>
    </row>
    <row r="32" spans="1:14">
      <c r="A32" s="4" t="str">
        <f>"405510025"</f>
        <v>405510025</v>
      </c>
      <c r="B32" s="4" t="s">
        <v>1559</v>
      </c>
      <c r="D32" s="2">
        <v>1</v>
      </c>
      <c r="K32" s="2">
        <v>1</v>
      </c>
      <c r="N32" s="2">
        <f t="shared" si="0"/>
        <v>2</v>
      </c>
    </row>
    <row r="33" spans="1:14">
      <c r="A33" s="4" t="str">
        <f>"405510026"</f>
        <v>405510026</v>
      </c>
      <c r="B33" s="4" t="s">
        <v>1560</v>
      </c>
      <c r="D33" s="2">
        <v>1</v>
      </c>
      <c r="E33" s="2">
        <v>1</v>
      </c>
      <c r="K33" s="2">
        <v>1</v>
      </c>
      <c r="N33" s="2">
        <f t="shared" si="0"/>
        <v>3</v>
      </c>
    </row>
    <row r="34" spans="1:14">
      <c r="A34" s="4" t="str">
        <f>"405510028"</f>
        <v>405510028</v>
      </c>
      <c r="B34" s="4" t="s">
        <v>1561</v>
      </c>
      <c r="E34" s="2">
        <v>1</v>
      </c>
      <c r="K34" s="2">
        <v>1</v>
      </c>
      <c r="N34" s="2">
        <f t="shared" si="0"/>
        <v>2</v>
      </c>
    </row>
    <row r="35" spans="1:14">
      <c r="A35" s="4" t="str">
        <f>"405510029"</f>
        <v>405510029</v>
      </c>
      <c r="B35" s="4" t="s">
        <v>1562</v>
      </c>
      <c r="E35" s="2">
        <v>1</v>
      </c>
      <c r="K35" s="2">
        <v>1</v>
      </c>
      <c r="N35" s="2">
        <f t="shared" si="0"/>
        <v>2</v>
      </c>
    </row>
    <row r="36" spans="1:14">
      <c r="A36" s="4" t="str">
        <f>"405510030"</f>
        <v>405510030</v>
      </c>
      <c r="B36" s="4" t="s">
        <v>1563</v>
      </c>
      <c r="E36" s="2">
        <v>1</v>
      </c>
      <c r="K36" s="2">
        <v>1</v>
      </c>
      <c r="N36" s="2">
        <f t="shared" si="0"/>
        <v>2</v>
      </c>
    </row>
    <row r="37" spans="1:14">
      <c r="A37" s="4" t="str">
        <f>"405510031"</f>
        <v>405510031</v>
      </c>
      <c r="B37" s="4" t="s">
        <v>1564</v>
      </c>
      <c r="D37" s="2">
        <v>1</v>
      </c>
      <c r="E37" s="2">
        <v>1</v>
      </c>
      <c r="K37" s="2">
        <v>1</v>
      </c>
      <c r="N37" s="2">
        <f t="shared" si="0"/>
        <v>3</v>
      </c>
    </row>
    <row r="38" spans="1:14">
      <c r="A38" s="4" t="str">
        <f>"405510032"</f>
        <v>405510032</v>
      </c>
      <c r="B38" s="4" t="s">
        <v>1565</v>
      </c>
      <c r="K38" s="2">
        <v>1</v>
      </c>
      <c r="N38" s="2">
        <f t="shared" si="0"/>
        <v>1</v>
      </c>
    </row>
    <row r="39" spans="1:14">
      <c r="A39" s="4" t="str">
        <f>"405510033"</f>
        <v>405510033</v>
      </c>
      <c r="B39" s="4" t="s">
        <v>1566</v>
      </c>
      <c r="E39" s="2">
        <v>1</v>
      </c>
      <c r="K39" s="2">
        <v>1</v>
      </c>
      <c r="N39" s="2">
        <f t="shared" si="0"/>
        <v>2</v>
      </c>
    </row>
    <row r="40" spans="1:14">
      <c r="A40" s="4" t="str">
        <f>"405510034"</f>
        <v>405510034</v>
      </c>
      <c r="B40" s="4" t="s">
        <v>1567</v>
      </c>
      <c r="K40" s="2">
        <v>1</v>
      </c>
      <c r="N40" s="2">
        <f t="shared" si="0"/>
        <v>1</v>
      </c>
    </row>
    <row r="41" spans="1:14">
      <c r="A41" s="4" t="str">
        <f>"405510036"</f>
        <v>405510036</v>
      </c>
      <c r="B41" s="4" t="s">
        <v>1568</v>
      </c>
      <c r="K41" s="2">
        <v>1</v>
      </c>
      <c r="N41" s="2">
        <f t="shared" si="0"/>
        <v>1</v>
      </c>
    </row>
    <row r="42" spans="1:14">
      <c r="A42" s="4" t="str">
        <f>"405510037"</f>
        <v>405510037</v>
      </c>
      <c r="B42" s="4" t="s">
        <v>1569</v>
      </c>
      <c r="D42" s="2">
        <v>1</v>
      </c>
      <c r="E42" s="2">
        <v>1</v>
      </c>
      <c r="K42" s="2">
        <v>1</v>
      </c>
      <c r="N42" s="2">
        <f t="shared" si="0"/>
        <v>3</v>
      </c>
    </row>
    <row r="43" spans="1:14">
      <c r="A43" s="4" t="str">
        <f>"405510038"</f>
        <v>405510038</v>
      </c>
      <c r="B43" s="4" t="s">
        <v>1570</v>
      </c>
      <c r="D43" s="2">
        <v>1</v>
      </c>
      <c r="K43" s="2">
        <v>1</v>
      </c>
      <c r="N43" s="2">
        <f t="shared" si="0"/>
        <v>2</v>
      </c>
    </row>
    <row r="44" spans="1:14">
      <c r="A44" s="4" t="str">
        <f>"405510039"</f>
        <v>405510039</v>
      </c>
      <c r="B44" s="4" t="s">
        <v>1571</v>
      </c>
      <c r="E44" s="2">
        <v>1</v>
      </c>
      <c r="K44" s="2">
        <v>1</v>
      </c>
      <c r="N44" s="2">
        <f t="shared" si="0"/>
        <v>2</v>
      </c>
    </row>
    <row r="45" spans="1:14">
      <c r="A45" s="4" t="str">
        <f>"405510040"</f>
        <v>405510040</v>
      </c>
      <c r="B45" s="4" t="s">
        <v>1572</v>
      </c>
      <c r="M45" s="2">
        <v>1</v>
      </c>
      <c r="N45" s="2">
        <f t="shared" si="0"/>
        <v>1</v>
      </c>
    </row>
    <row r="46" spans="1:14">
      <c r="A46" s="4" t="str">
        <f>"405510042"</f>
        <v>405510042</v>
      </c>
      <c r="B46" s="4" t="s">
        <v>1573</v>
      </c>
      <c r="E46" s="2">
        <v>1</v>
      </c>
      <c r="K46" s="2">
        <v>1</v>
      </c>
      <c r="N46" s="2">
        <f t="shared" si="0"/>
        <v>2</v>
      </c>
    </row>
    <row r="47" spans="1:14">
      <c r="A47" s="4" t="str">
        <f>"405510043"</f>
        <v>405510043</v>
      </c>
      <c r="B47" s="4" t="s">
        <v>1574</v>
      </c>
      <c r="N47" s="2">
        <f t="shared" si="0"/>
        <v>0</v>
      </c>
    </row>
    <row r="48" spans="1:14">
      <c r="A48" s="4" t="str">
        <f>"405510044"</f>
        <v>405510044</v>
      </c>
      <c r="B48" s="4" t="s">
        <v>1575</v>
      </c>
      <c r="K48" s="2">
        <v>1</v>
      </c>
      <c r="N48" s="2">
        <f t="shared" si="0"/>
        <v>1</v>
      </c>
    </row>
    <row r="49" spans="1:14">
      <c r="A49" s="4" t="str">
        <f>"405510045"</f>
        <v>405510045</v>
      </c>
      <c r="B49" s="4" t="s">
        <v>1576</v>
      </c>
      <c r="E49" s="2">
        <v>1</v>
      </c>
      <c r="K49" s="2">
        <v>1</v>
      </c>
      <c r="N49" s="2">
        <f t="shared" si="0"/>
        <v>2</v>
      </c>
    </row>
    <row r="50" spans="1:14">
      <c r="A50" s="4" t="str">
        <f>"405510046"</f>
        <v>405510046</v>
      </c>
      <c r="B50" s="4" t="s">
        <v>1577</v>
      </c>
      <c r="E50" s="2">
        <v>1</v>
      </c>
      <c r="N50" s="2">
        <f t="shared" si="0"/>
        <v>1</v>
      </c>
    </row>
    <row r="51" spans="1:14">
      <c r="A51" s="4" t="str">
        <f>"405510047"</f>
        <v>405510047</v>
      </c>
      <c r="B51" s="4" t="s">
        <v>1578</v>
      </c>
      <c r="K51" s="2">
        <v>1</v>
      </c>
      <c r="N51" s="2">
        <f t="shared" si="0"/>
        <v>1</v>
      </c>
    </row>
    <row r="52" spans="1:14">
      <c r="A52" s="4" t="str">
        <f>"405510048"</f>
        <v>405510048</v>
      </c>
      <c r="B52" s="4" t="s">
        <v>1579</v>
      </c>
      <c r="C52" s="2">
        <v>1</v>
      </c>
      <c r="F52" s="2">
        <v>1</v>
      </c>
      <c r="K52" s="2">
        <v>1</v>
      </c>
      <c r="N52" s="2">
        <f t="shared" si="0"/>
        <v>3</v>
      </c>
    </row>
    <row r="53" spans="1:14">
      <c r="A53" s="4" t="str">
        <f>"405510049"</f>
        <v>405510049</v>
      </c>
      <c r="B53" s="4" t="s">
        <v>1580</v>
      </c>
      <c r="G53" s="2">
        <v>1</v>
      </c>
      <c r="N53" s="2">
        <f t="shared" si="0"/>
        <v>1</v>
      </c>
    </row>
    <row r="54" spans="1:14">
      <c r="A54" s="4" t="str">
        <f>"405510050"</f>
        <v>405510050</v>
      </c>
      <c r="B54" s="4" t="s">
        <v>1581</v>
      </c>
      <c r="K54" s="2">
        <v>1</v>
      </c>
      <c r="M54" s="2">
        <v>1</v>
      </c>
      <c r="N54" s="2">
        <f t="shared" si="0"/>
        <v>2</v>
      </c>
    </row>
    <row r="55" spans="1:14">
      <c r="A55" s="4" t="str">
        <f>"405510051"</f>
        <v>405510051</v>
      </c>
      <c r="B55" s="4" t="s">
        <v>1582</v>
      </c>
      <c r="K55" s="2">
        <v>1</v>
      </c>
      <c r="N55" s="2">
        <f t="shared" si="0"/>
        <v>1</v>
      </c>
    </row>
    <row r="56" spans="1:14">
      <c r="A56" s="4" t="str">
        <f>"405510052"</f>
        <v>405510052</v>
      </c>
      <c r="B56" s="4" t="s">
        <v>1583</v>
      </c>
      <c r="K56" s="2">
        <v>1</v>
      </c>
      <c r="N56" s="2">
        <f t="shared" si="0"/>
        <v>1</v>
      </c>
    </row>
    <row r="57" spans="1:14">
      <c r="A57" s="4" t="str">
        <f>"405510053"</f>
        <v>405510053</v>
      </c>
      <c r="B57" s="4" t="s">
        <v>1584</v>
      </c>
      <c r="K57" s="2">
        <v>1</v>
      </c>
      <c r="N57" s="2">
        <f t="shared" si="0"/>
        <v>1</v>
      </c>
    </row>
    <row r="58" spans="1:14">
      <c r="A58" s="4" t="str">
        <f>"405510057"</f>
        <v>405510057</v>
      </c>
      <c r="B58" s="4" t="s">
        <v>1585</v>
      </c>
      <c r="N58" s="2">
        <f t="shared" si="0"/>
        <v>0</v>
      </c>
    </row>
    <row r="59" spans="1:14">
      <c r="A59" s="4" t="str">
        <f>"405510059"</f>
        <v>405510059</v>
      </c>
      <c r="B59" s="4" t="s">
        <v>1586</v>
      </c>
      <c r="E59" s="2">
        <v>1</v>
      </c>
      <c r="K59" s="2">
        <v>1</v>
      </c>
      <c r="N59" s="2">
        <f t="shared" si="0"/>
        <v>2</v>
      </c>
    </row>
    <row r="60" spans="1:14">
      <c r="A60" s="4" t="str">
        <f>"405510060"</f>
        <v>405510060</v>
      </c>
      <c r="B60" s="4" t="s">
        <v>1587</v>
      </c>
      <c r="D60" s="2">
        <v>1</v>
      </c>
      <c r="E60" s="2">
        <v>1</v>
      </c>
      <c r="K60" s="2">
        <v>1</v>
      </c>
      <c r="N60" s="2">
        <f t="shared" si="0"/>
        <v>3</v>
      </c>
    </row>
    <row r="61" spans="1:14">
      <c r="A61" s="4" t="str">
        <f>"405510061"</f>
        <v>405510061</v>
      </c>
      <c r="B61" s="4" t="s">
        <v>1588</v>
      </c>
      <c r="N61" s="2">
        <f t="shared" si="0"/>
        <v>0</v>
      </c>
    </row>
    <row r="62" spans="1:14">
      <c r="A62" s="4" t="str">
        <f>"405510062"</f>
        <v>405510062</v>
      </c>
      <c r="B62" s="4" t="s">
        <v>1589</v>
      </c>
      <c r="K62" s="2">
        <v>1</v>
      </c>
      <c r="N62" s="2">
        <f t="shared" si="0"/>
        <v>1</v>
      </c>
    </row>
    <row r="63" spans="1:14">
      <c r="A63" s="4" t="str">
        <f>"405510063"</f>
        <v>405510063</v>
      </c>
      <c r="B63" s="4" t="s">
        <v>1590</v>
      </c>
      <c r="D63" s="2">
        <v>1</v>
      </c>
      <c r="K63" s="2">
        <v>1</v>
      </c>
      <c r="N63" s="2">
        <f t="shared" si="0"/>
        <v>2</v>
      </c>
    </row>
    <row r="64" spans="1:14">
      <c r="A64" s="4" t="str">
        <f>"405510064"</f>
        <v>405510064</v>
      </c>
      <c r="B64" s="4" t="s">
        <v>1591</v>
      </c>
      <c r="K64" s="2">
        <v>1</v>
      </c>
      <c r="N64" s="2">
        <f t="shared" si="0"/>
        <v>1</v>
      </c>
    </row>
    <row r="65" spans="1:14">
      <c r="A65" s="4" t="str">
        <f>"405510066"</f>
        <v>405510066</v>
      </c>
      <c r="B65" s="4" t="s">
        <v>1592</v>
      </c>
      <c r="K65" s="2">
        <v>1</v>
      </c>
      <c r="N65" s="2">
        <f t="shared" si="0"/>
        <v>1</v>
      </c>
    </row>
    <row r="66" spans="1:14">
      <c r="A66" s="4" t="str">
        <f>"405510068"</f>
        <v>405510068</v>
      </c>
      <c r="B66" s="4" t="s">
        <v>1593</v>
      </c>
      <c r="K66" s="2">
        <v>1</v>
      </c>
      <c r="N66" s="2">
        <f t="shared" si="0"/>
        <v>1</v>
      </c>
    </row>
    <row r="67" spans="1:14">
      <c r="A67" s="4" t="str">
        <f>"405510069"</f>
        <v>405510069</v>
      </c>
      <c r="B67" s="4" t="s">
        <v>1594</v>
      </c>
      <c r="D67" s="2">
        <v>1</v>
      </c>
      <c r="E67" s="2">
        <v>1</v>
      </c>
      <c r="K67" s="2">
        <v>1</v>
      </c>
      <c r="N67" s="2">
        <f t="shared" si="0"/>
        <v>3</v>
      </c>
    </row>
    <row r="68" spans="1:14">
      <c r="A68" s="4" t="str">
        <f>"405510071"</f>
        <v>405510071</v>
      </c>
      <c r="B68" s="4" t="s">
        <v>1595</v>
      </c>
      <c r="D68" s="2">
        <v>1</v>
      </c>
      <c r="E68" s="2">
        <v>1</v>
      </c>
      <c r="K68" s="2">
        <v>1</v>
      </c>
      <c r="N68" s="2">
        <f t="shared" ref="N68:N112" si="1">SUM(C68:M68)</f>
        <v>3</v>
      </c>
    </row>
    <row r="69" spans="1:14">
      <c r="A69" s="4" t="str">
        <f>"405510072"</f>
        <v>405510072</v>
      </c>
      <c r="B69" s="4" t="s">
        <v>1596</v>
      </c>
      <c r="K69" s="2">
        <v>1</v>
      </c>
      <c r="N69" s="2">
        <f t="shared" si="1"/>
        <v>1</v>
      </c>
    </row>
    <row r="70" spans="1:14">
      <c r="A70" s="4" t="str">
        <f>"405510073"</f>
        <v>405510073</v>
      </c>
      <c r="B70" s="4" t="s">
        <v>1597</v>
      </c>
      <c r="N70" s="2">
        <f t="shared" si="1"/>
        <v>0</v>
      </c>
    </row>
    <row r="71" spans="1:14">
      <c r="A71" s="4" t="str">
        <f>"405510075"</f>
        <v>405510075</v>
      </c>
      <c r="B71" s="4" t="s">
        <v>1598</v>
      </c>
      <c r="D71" s="2">
        <v>1</v>
      </c>
      <c r="E71" s="2">
        <v>1</v>
      </c>
      <c r="N71" s="2">
        <f t="shared" si="1"/>
        <v>2</v>
      </c>
    </row>
    <row r="72" spans="1:14">
      <c r="A72" s="4" t="str">
        <f>"405510076"</f>
        <v>405510076</v>
      </c>
      <c r="B72" s="4" t="s">
        <v>1599</v>
      </c>
      <c r="D72" s="2">
        <v>1</v>
      </c>
      <c r="E72" s="2">
        <v>1</v>
      </c>
      <c r="K72" s="2">
        <v>1</v>
      </c>
      <c r="N72" s="2">
        <f t="shared" si="1"/>
        <v>3</v>
      </c>
    </row>
    <row r="73" spans="1:14">
      <c r="A73" s="4" t="str">
        <f>"405510077"</f>
        <v>405510077</v>
      </c>
      <c r="B73" s="4" t="s">
        <v>1600</v>
      </c>
      <c r="E73" s="2">
        <v>1</v>
      </c>
      <c r="N73" s="2">
        <f t="shared" si="1"/>
        <v>1</v>
      </c>
    </row>
    <row r="74" spans="1:14">
      <c r="A74" s="4" t="str">
        <f>"405510078"</f>
        <v>405510078</v>
      </c>
      <c r="B74" s="4" t="s">
        <v>1601</v>
      </c>
      <c r="N74" s="2">
        <f t="shared" si="1"/>
        <v>0</v>
      </c>
    </row>
    <row r="75" spans="1:14">
      <c r="A75" s="4" t="str">
        <f>"405510079"</f>
        <v>405510079</v>
      </c>
      <c r="B75" s="4" t="s">
        <v>1602</v>
      </c>
      <c r="D75" s="2">
        <v>1</v>
      </c>
      <c r="N75" s="2">
        <f t="shared" si="1"/>
        <v>1</v>
      </c>
    </row>
    <row r="76" spans="1:14">
      <c r="A76" s="4" t="str">
        <f>"405510080"</f>
        <v>405510080</v>
      </c>
      <c r="B76" s="4" t="s">
        <v>1603</v>
      </c>
      <c r="E76" s="2">
        <v>1</v>
      </c>
      <c r="K76" s="2">
        <v>1</v>
      </c>
      <c r="N76" s="2">
        <f t="shared" si="1"/>
        <v>2</v>
      </c>
    </row>
    <row r="77" spans="1:14">
      <c r="A77" s="4" t="str">
        <f>"405510081"</f>
        <v>405510081</v>
      </c>
      <c r="B77" s="4" t="s">
        <v>1604</v>
      </c>
      <c r="D77" s="2">
        <v>1</v>
      </c>
      <c r="E77" s="2">
        <v>1</v>
      </c>
      <c r="K77" s="2">
        <v>1</v>
      </c>
      <c r="N77" s="2">
        <f t="shared" si="1"/>
        <v>3</v>
      </c>
    </row>
    <row r="78" spans="1:14">
      <c r="A78" s="4" t="str">
        <f>"405510082"</f>
        <v>405510082</v>
      </c>
      <c r="B78" s="4" t="s">
        <v>1605</v>
      </c>
      <c r="E78" s="2">
        <v>1</v>
      </c>
      <c r="K78" s="2">
        <v>1</v>
      </c>
      <c r="N78" s="2">
        <f t="shared" si="1"/>
        <v>2</v>
      </c>
    </row>
    <row r="79" spans="1:14">
      <c r="A79" s="4" t="str">
        <f>"405510083"</f>
        <v>405510083</v>
      </c>
      <c r="B79" s="4" t="s">
        <v>1606</v>
      </c>
      <c r="D79" s="2">
        <v>1</v>
      </c>
      <c r="E79" s="2">
        <v>1</v>
      </c>
      <c r="K79" s="2">
        <v>1</v>
      </c>
      <c r="N79" s="2">
        <f t="shared" si="1"/>
        <v>3</v>
      </c>
    </row>
    <row r="80" spans="1:14">
      <c r="A80" s="4" t="str">
        <f>"405510084"</f>
        <v>405510084</v>
      </c>
      <c r="B80" s="4" t="s">
        <v>1607</v>
      </c>
      <c r="K80" s="2">
        <v>1</v>
      </c>
      <c r="N80" s="2">
        <f t="shared" si="1"/>
        <v>1</v>
      </c>
    </row>
    <row r="81" spans="1:14">
      <c r="A81" s="4" t="str">
        <f>"405510085"</f>
        <v>405510085</v>
      </c>
      <c r="B81" s="4" t="s">
        <v>1608</v>
      </c>
      <c r="K81" s="2">
        <v>1</v>
      </c>
      <c r="N81" s="2">
        <f t="shared" si="1"/>
        <v>1</v>
      </c>
    </row>
    <row r="82" spans="1:14">
      <c r="A82" s="4" t="str">
        <f>"405510086"</f>
        <v>405510086</v>
      </c>
      <c r="B82" s="4" t="s">
        <v>1609</v>
      </c>
      <c r="N82" s="2">
        <f t="shared" si="1"/>
        <v>0</v>
      </c>
    </row>
    <row r="83" spans="1:14">
      <c r="A83" s="4" t="str">
        <f>"405510087"</f>
        <v>405510087</v>
      </c>
      <c r="B83" s="4" t="s">
        <v>1610</v>
      </c>
      <c r="E83" s="2">
        <v>1</v>
      </c>
      <c r="K83" s="2">
        <v>1</v>
      </c>
      <c r="M83" s="2">
        <v>1</v>
      </c>
      <c r="N83" s="2">
        <f t="shared" si="1"/>
        <v>3</v>
      </c>
    </row>
    <row r="84" spans="1:14">
      <c r="A84" s="4" t="str">
        <f>"405510088"</f>
        <v>405510088</v>
      </c>
      <c r="B84" s="4" t="s">
        <v>1611</v>
      </c>
      <c r="E84" s="2">
        <v>1</v>
      </c>
      <c r="K84" s="2">
        <v>1</v>
      </c>
      <c r="N84" s="2">
        <f t="shared" si="1"/>
        <v>2</v>
      </c>
    </row>
    <row r="85" spans="1:14">
      <c r="A85" s="4" t="str">
        <f>"405510089"</f>
        <v>405510089</v>
      </c>
      <c r="B85" s="4" t="s">
        <v>1612</v>
      </c>
      <c r="G85" s="2">
        <v>1</v>
      </c>
      <c r="K85" s="2">
        <v>1</v>
      </c>
      <c r="N85" s="2">
        <f t="shared" si="1"/>
        <v>2</v>
      </c>
    </row>
    <row r="86" spans="1:14">
      <c r="A86" s="4" t="str">
        <f>"405510090"</f>
        <v>405510090</v>
      </c>
      <c r="B86" s="4" t="s">
        <v>1613</v>
      </c>
      <c r="D86" s="2">
        <v>1</v>
      </c>
      <c r="E86" s="2">
        <v>1</v>
      </c>
      <c r="N86" s="2">
        <f t="shared" si="1"/>
        <v>2</v>
      </c>
    </row>
    <row r="87" spans="1:14">
      <c r="A87" s="4" t="str">
        <f>"405510092"</f>
        <v>405510092</v>
      </c>
      <c r="B87" s="4" t="s">
        <v>1614</v>
      </c>
      <c r="N87" s="2">
        <f t="shared" si="1"/>
        <v>0</v>
      </c>
    </row>
    <row r="88" spans="1:14">
      <c r="A88" s="4" t="str">
        <f>"405510093"</f>
        <v>405510093</v>
      </c>
      <c r="B88" s="4" t="s">
        <v>1615</v>
      </c>
      <c r="D88" s="2">
        <v>1</v>
      </c>
      <c r="K88" s="2">
        <v>1</v>
      </c>
      <c r="N88" s="2">
        <f t="shared" si="1"/>
        <v>2</v>
      </c>
    </row>
    <row r="89" spans="1:14">
      <c r="A89" s="4" t="str">
        <f>"405510094"</f>
        <v>405510094</v>
      </c>
      <c r="B89" s="4" t="s">
        <v>1616</v>
      </c>
      <c r="N89" s="2">
        <f t="shared" si="1"/>
        <v>0</v>
      </c>
    </row>
    <row r="90" spans="1:14">
      <c r="A90" s="4" t="str">
        <f>"405510095"</f>
        <v>405510095</v>
      </c>
      <c r="B90" s="4" t="s">
        <v>1617</v>
      </c>
      <c r="K90" s="2">
        <v>1</v>
      </c>
      <c r="N90" s="2">
        <f t="shared" si="1"/>
        <v>1</v>
      </c>
    </row>
    <row r="91" spans="1:14">
      <c r="A91" s="4" t="str">
        <f>"405510096"</f>
        <v>405510096</v>
      </c>
      <c r="B91" s="4" t="s">
        <v>1618</v>
      </c>
      <c r="E91" s="2">
        <v>1</v>
      </c>
      <c r="K91" s="2">
        <v>1</v>
      </c>
      <c r="N91" s="2">
        <f t="shared" si="1"/>
        <v>2</v>
      </c>
    </row>
    <row r="92" spans="1:14">
      <c r="A92" s="4" t="str">
        <f>"405510097"</f>
        <v>405510097</v>
      </c>
      <c r="B92" s="4" t="s">
        <v>1619</v>
      </c>
      <c r="D92" s="2">
        <v>1</v>
      </c>
      <c r="K92" s="2">
        <v>1</v>
      </c>
      <c r="N92" s="2">
        <f t="shared" si="1"/>
        <v>2</v>
      </c>
    </row>
    <row r="93" spans="1:14">
      <c r="A93" s="4" t="str">
        <f>"405510098"</f>
        <v>405510098</v>
      </c>
      <c r="B93" s="4" t="s">
        <v>1620</v>
      </c>
      <c r="E93" s="2">
        <v>1</v>
      </c>
      <c r="K93" s="2">
        <v>1</v>
      </c>
      <c r="N93" s="2">
        <f t="shared" si="1"/>
        <v>2</v>
      </c>
    </row>
    <row r="94" spans="1:14">
      <c r="A94" s="4" t="str">
        <f>"405510099"</f>
        <v>405510099</v>
      </c>
      <c r="B94" s="4" t="s">
        <v>1621</v>
      </c>
      <c r="E94" s="2">
        <v>1</v>
      </c>
      <c r="K94" s="2">
        <v>1</v>
      </c>
      <c r="N94" s="2">
        <f t="shared" si="1"/>
        <v>2</v>
      </c>
    </row>
    <row r="95" spans="1:14">
      <c r="A95" s="4" t="str">
        <f>"405510100"</f>
        <v>405510100</v>
      </c>
      <c r="B95" s="4" t="s">
        <v>1622</v>
      </c>
      <c r="C95" s="2">
        <v>1</v>
      </c>
      <c r="K95" s="2">
        <v>1</v>
      </c>
      <c r="N95" s="2">
        <f t="shared" si="1"/>
        <v>2</v>
      </c>
    </row>
    <row r="96" spans="1:14">
      <c r="A96" s="4" t="str">
        <f>"405510101"</f>
        <v>405510101</v>
      </c>
      <c r="B96" s="4" t="s">
        <v>1623</v>
      </c>
      <c r="E96" s="2">
        <v>1</v>
      </c>
      <c r="K96" s="2">
        <v>1</v>
      </c>
      <c r="N96" s="2">
        <f t="shared" si="1"/>
        <v>2</v>
      </c>
    </row>
    <row r="97" spans="1:19">
      <c r="A97" s="4" t="str">
        <f>"405510102"</f>
        <v>405510102</v>
      </c>
      <c r="B97" s="4" t="s">
        <v>1624</v>
      </c>
      <c r="E97" s="2">
        <v>1</v>
      </c>
      <c r="K97" s="2">
        <v>1</v>
      </c>
      <c r="N97" s="2">
        <f t="shared" si="1"/>
        <v>2</v>
      </c>
    </row>
    <row r="98" spans="1:19">
      <c r="A98" s="4" t="str">
        <f>"405510103"</f>
        <v>405510103</v>
      </c>
      <c r="B98" s="4" t="s">
        <v>1625</v>
      </c>
      <c r="N98" s="2">
        <f t="shared" si="1"/>
        <v>0</v>
      </c>
    </row>
    <row r="99" spans="1:19">
      <c r="A99" s="4" t="str">
        <f>"405510104"</f>
        <v>405510104</v>
      </c>
      <c r="B99" s="4" t="s">
        <v>1626</v>
      </c>
      <c r="D99" s="2">
        <v>1</v>
      </c>
      <c r="E99" s="2">
        <v>1</v>
      </c>
      <c r="K99" s="2">
        <v>1</v>
      </c>
      <c r="N99" s="2">
        <f t="shared" si="1"/>
        <v>3</v>
      </c>
    </row>
    <row r="100" spans="1:19">
      <c r="A100" s="4" t="str">
        <f>"405510105"</f>
        <v>405510105</v>
      </c>
      <c r="B100" s="4" t="s">
        <v>1627</v>
      </c>
      <c r="K100" s="2">
        <v>1</v>
      </c>
      <c r="N100" s="2">
        <f t="shared" si="1"/>
        <v>1</v>
      </c>
    </row>
    <row r="101" spans="1:19">
      <c r="A101" s="4" t="str">
        <f>"405510106"</f>
        <v>405510106</v>
      </c>
      <c r="B101" s="4" t="s">
        <v>1628</v>
      </c>
      <c r="E101" s="2">
        <v>1</v>
      </c>
      <c r="K101" s="2">
        <v>1</v>
      </c>
      <c r="N101" s="2">
        <f t="shared" si="1"/>
        <v>2</v>
      </c>
    </row>
    <row r="102" spans="1:19">
      <c r="A102" s="4" t="str">
        <f>"405510107"</f>
        <v>405510107</v>
      </c>
      <c r="B102" s="4" t="s">
        <v>1629</v>
      </c>
      <c r="N102" s="2">
        <f t="shared" si="1"/>
        <v>0</v>
      </c>
    </row>
    <row r="103" spans="1:19">
      <c r="A103" s="98">
        <v>405510109</v>
      </c>
      <c r="B103" s="98" t="s">
        <v>1526</v>
      </c>
      <c r="K103" s="2">
        <v>1</v>
      </c>
      <c r="N103" s="2">
        <f t="shared" si="1"/>
        <v>1</v>
      </c>
    </row>
    <row r="104" spans="1:19">
      <c r="A104" s="100">
        <v>405510117</v>
      </c>
      <c r="B104" s="100" t="s">
        <v>1527</v>
      </c>
      <c r="K104" s="2">
        <v>1</v>
      </c>
      <c r="N104" s="2">
        <f t="shared" si="1"/>
        <v>1</v>
      </c>
    </row>
    <row r="105" spans="1:19">
      <c r="A105" s="100">
        <v>405510118</v>
      </c>
      <c r="B105" s="101" t="s">
        <v>1525</v>
      </c>
      <c r="I105" s="2">
        <v>1</v>
      </c>
      <c r="K105" s="2">
        <v>1</v>
      </c>
      <c r="M105" s="2">
        <v>1</v>
      </c>
      <c r="N105" s="2">
        <f t="shared" si="1"/>
        <v>3</v>
      </c>
    </row>
    <row r="106" spans="1:19">
      <c r="A106" s="100">
        <v>405510119</v>
      </c>
      <c r="B106" s="101" t="s">
        <v>1630</v>
      </c>
      <c r="K106" s="2">
        <v>1</v>
      </c>
      <c r="N106" s="2">
        <f t="shared" si="1"/>
        <v>1</v>
      </c>
    </row>
    <row r="107" spans="1:19">
      <c r="A107" s="98">
        <v>405510120</v>
      </c>
      <c r="B107" s="105" t="s">
        <v>1631</v>
      </c>
      <c r="E107" s="2">
        <v>1</v>
      </c>
      <c r="H107" s="2">
        <v>1</v>
      </c>
      <c r="K107" s="2">
        <v>1</v>
      </c>
      <c r="N107" s="2">
        <f t="shared" si="1"/>
        <v>3</v>
      </c>
    </row>
    <row r="108" spans="1:19" s="2" customFormat="1">
      <c r="A108" s="102">
        <v>405510121</v>
      </c>
      <c r="B108" s="106" t="s">
        <v>1632</v>
      </c>
      <c r="H108" s="2">
        <v>1</v>
      </c>
      <c r="J108" s="2">
        <v>1</v>
      </c>
      <c r="K108" s="2">
        <v>1</v>
      </c>
      <c r="N108" s="2">
        <f t="shared" si="1"/>
        <v>3</v>
      </c>
      <c r="S108" s="85"/>
    </row>
    <row r="109" spans="1:19">
      <c r="A109" s="103">
        <v>405510122</v>
      </c>
      <c r="B109" s="107" t="s">
        <v>1633</v>
      </c>
      <c r="K109" s="2">
        <v>1</v>
      </c>
      <c r="N109" s="2">
        <f t="shared" si="1"/>
        <v>1</v>
      </c>
    </row>
    <row r="110" spans="1:19">
      <c r="A110" s="96">
        <v>405510125</v>
      </c>
      <c r="B110" s="121" t="s">
        <v>1904</v>
      </c>
      <c r="C110" s="4"/>
      <c r="D110" s="4"/>
      <c r="L110" s="2">
        <v>1</v>
      </c>
      <c r="M110" s="2">
        <v>1</v>
      </c>
      <c r="N110" s="2">
        <f t="shared" si="1"/>
        <v>2</v>
      </c>
      <c r="P110" s="91"/>
    </row>
    <row r="111" spans="1:19">
      <c r="A111" s="122">
        <v>405510126</v>
      </c>
      <c r="B111" s="121" t="s">
        <v>1909</v>
      </c>
      <c r="C111" s="4"/>
      <c r="D111" s="4"/>
      <c r="M111" s="2">
        <v>1</v>
      </c>
      <c r="N111" s="2">
        <f t="shared" si="1"/>
        <v>1</v>
      </c>
      <c r="P111" s="91"/>
    </row>
    <row r="112" spans="1:19">
      <c r="A112" s="122">
        <v>405510128</v>
      </c>
      <c r="B112" s="121" t="s">
        <v>1910</v>
      </c>
      <c r="C112" s="4"/>
      <c r="D112" s="4"/>
      <c r="M112" s="2">
        <v>1</v>
      </c>
      <c r="N112" s="2">
        <f t="shared" si="1"/>
        <v>1</v>
      </c>
      <c r="P112" s="91"/>
    </row>
    <row r="113" spans="1:16">
      <c r="A113" s="123"/>
      <c r="B113" s="121"/>
      <c r="C113" s="4"/>
      <c r="D113" s="4"/>
      <c r="P113" s="91"/>
    </row>
    <row r="114" spans="1:16">
      <c r="B114" s="2" t="s">
        <v>1634</v>
      </c>
      <c r="C114" s="2">
        <f>MEDIAN(N3:N110)</f>
        <v>2</v>
      </c>
    </row>
    <row r="115" spans="1:16">
      <c r="A115" s="4" t="s">
        <v>1636</v>
      </c>
    </row>
    <row r="116" spans="1:16">
      <c r="A116" s="4" t="s">
        <v>1637</v>
      </c>
    </row>
    <row r="117" spans="1:16">
      <c r="A117" s="4" t="s">
        <v>1638</v>
      </c>
    </row>
    <row r="118" spans="1:16">
      <c r="A118" s="4" t="s">
        <v>1639</v>
      </c>
    </row>
    <row r="119" spans="1:16">
      <c r="A119" s="4" t="s">
        <v>1640</v>
      </c>
    </row>
    <row r="120" spans="1:16">
      <c r="A120" s="4" t="s">
        <v>1641</v>
      </c>
    </row>
    <row r="121" spans="1:16">
      <c r="A121" s="4" t="s">
        <v>1642</v>
      </c>
    </row>
    <row r="122" spans="1:16">
      <c r="A122" s="115" t="s">
        <v>1899</v>
      </c>
    </row>
    <row r="123" spans="1:16">
      <c r="A123" s="4" t="s">
        <v>1900</v>
      </c>
    </row>
    <row r="124" spans="1:16">
      <c r="A124" s="4" t="s">
        <v>1905</v>
      </c>
    </row>
    <row r="125" spans="1:16">
      <c r="A125" s="4" t="s">
        <v>1908</v>
      </c>
    </row>
  </sheetData>
  <autoFilter ref="A2:N109"/>
  <sortState ref="A3:I102">
    <sortCondition ref="A3"/>
  </sortState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opLeftCell="A83" workbookViewId="0">
      <selection activeCell="L107" sqref="L107"/>
    </sheetView>
  </sheetViews>
  <sheetFormatPr defaultRowHeight="16.2"/>
  <cols>
    <col min="1" max="1" width="13.21875" style="4" customWidth="1"/>
    <col min="2" max="2" width="9.44140625" style="4" bestFit="1" customWidth="1"/>
    <col min="3" max="4" width="7.44140625" style="120" customWidth="1"/>
    <col min="5" max="8" width="9" style="50"/>
    <col min="9" max="9" width="9.6640625" style="50" customWidth="1"/>
    <col min="10" max="12" width="11.33203125" style="50" customWidth="1"/>
    <col min="13" max="13" width="8.88671875" style="118"/>
  </cols>
  <sheetData>
    <row r="1" spans="1:17">
      <c r="A1" s="4" t="s">
        <v>1644</v>
      </c>
      <c r="C1" s="119">
        <f>MAX(M2:M123)</f>
        <v>5</v>
      </c>
      <c r="D1" s="50"/>
      <c r="G1" s="59"/>
    </row>
    <row r="2" spans="1:17">
      <c r="A2" s="104" t="s">
        <v>1528</v>
      </c>
      <c r="B2" s="104" t="s">
        <v>1529</v>
      </c>
      <c r="C2" s="54" t="s">
        <v>148</v>
      </c>
      <c r="D2" s="54">
        <v>2</v>
      </c>
      <c r="E2" s="54">
        <v>3</v>
      </c>
      <c r="F2" s="54">
        <v>4</v>
      </c>
      <c r="G2" s="54">
        <v>5</v>
      </c>
      <c r="H2" s="54">
        <v>6</v>
      </c>
      <c r="I2" s="54">
        <v>7</v>
      </c>
      <c r="J2" s="54">
        <v>8</v>
      </c>
      <c r="K2" s="54">
        <v>9</v>
      </c>
      <c r="L2" s="54">
        <v>10</v>
      </c>
      <c r="M2" s="55" t="s">
        <v>1643</v>
      </c>
      <c r="N2" s="7"/>
      <c r="O2" s="7"/>
      <c r="P2" s="7"/>
      <c r="Q2" s="7"/>
    </row>
    <row r="3" spans="1:17">
      <c r="A3" s="35">
        <v>403330042</v>
      </c>
      <c r="B3" s="35" t="s">
        <v>1645</v>
      </c>
      <c r="C3" s="119"/>
      <c r="D3" s="119"/>
      <c r="E3" s="119"/>
      <c r="F3" s="119"/>
      <c r="G3" s="119"/>
      <c r="H3" s="119"/>
      <c r="I3" s="119">
        <v>1</v>
      </c>
      <c r="J3" s="119"/>
      <c r="K3" s="119"/>
      <c r="L3" s="119"/>
      <c r="M3" s="118">
        <f>SUM(C3:L3)</f>
        <v>1</v>
      </c>
      <c r="N3" s="7"/>
      <c r="O3" s="7"/>
      <c r="P3" s="7"/>
      <c r="Q3" s="7"/>
    </row>
    <row r="4" spans="1:17">
      <c r="A4" s="4" t="str">
        <f>"403510033"</f>
        <v>403510033</v>
      </c>
      <c r="B4" s="4" t="s">
        <v>1646</v>
      </c>
      <c r="C4" s="50">
        <v>1</v>
      </c>
      <c r="D4" s="50"/>
      <c r="M4" s="118">
        <f>SUM(C4:L4)</f>
        <v>1</v>
      </c>
    </row>
    <row r="5" spans="1:17">
      <c r="A5" s="4" t="str">
        <f>"403510046"</f>
        <v>403510046</v>
      </c>
      <c r="B5" s="4" t="s">
        <v>1647</v>
      </c>
      <c r="C5" s="50">
        <v>1</v>
      </c>
      <c r="D5" s="50"/>
      <c r="M5" s="118">
        <f t="shared" ref="M5:M68" si="0">SUM(C5:L5)</f>
        <v>1</v>
      </c>
    </row>
    <row r="6" spans="1:17">
      <c r="A6" s="4" t="str">
        <f>"403510050"</f>
        <v>403510050</v>
      </c>
      <c r="B6" s="4" t="s">
        <v>1648</v>
      </c>
      <c r="C6" s="50">
        <v>1</v>
      </c>
      <c r="D6" s="50"/>
      <c r="M6" s="118">
        <f t="shared" si="0"/>
        <v>1</v>
      </c>
    </row>
    <row r="7" spans="1:17">
      <c r="A7" s="4" t="str">
        <f>"403510076"</f>
        <v>403510076</v>
      </c>
      <c r="B7" s="4" t="s">
        <v>1530</v>
      </c>
      <c r="C7" s="50">
        <v>1</v>
      </c>
      <c r="D7" s="50"/>
      <c r="M7" s="118">
        <f t="shared" si="0"/>
        <v>1</v>
      </c>
    </row>
    <row r="8" spans="1:17">
      <c r="A8" s="4" t="str">
        <f>"404510001"</f>
        <v>404510001</v>
      </c>
      <c r="B8" s="4" t="s">
        <v>1649</v>
      </c>
      <c r="C8" s="50">
        <v>1</v>
      </c>
      <c r="D8" s="50"/>
      <c r="E8" s="50">
        <v>1</v>
      </c>
      <c r="I8" s="50">
        <v>1</v>
      </c>
      <c r="J8" s="50">
        <v>1</v>
      </c>
      <c r="M8" s="118">
        <f t="shared" si="0"/>
        <v>4</v>
      </c>
    </row>
    <row r="9" spans="1:17">
      <c r="A9" s="4" t="str">
        <f>"404510002"</f>
        <v>404510002</v>
      </c>
      <c r="B9" s="4" t="s">
        <v>1650</v>
      </c>
      <c r="C9" s="50">
        <v>1</v>
      </c>
      <c r="D9" s="50"/>
      <c r="I9" s="50">
        <v>1</v>
      </c>
      <c r="J9" s="50">
        <v>1</v>
      </c>
      <c r="M9" s="118">
        <f t="shared" si="0"/>
        <v>3</v>
      </c>
    </row>
    <row r="10" spans="1:17">
      <c r="A10" s="4" t="str">
        <f>"404510003"</f>
        <v>404510003</v>
      </c>
      <c r="B10" s="4" t="s">
        <v>1651</v>
      </c>
      <c r="C10" s="50">
        <v>1</v>
      </c>
      <c r="D10" s="50"/>
      <c r="K10" s="50">
        <v>1</v>
      </c>
      <c r="M10" s="118">
        <f t="shared" si="0"/>
        <v>2</v>
      </c>
    </row>
    <row r="11" spans="1:17">
      <c r="A11" s="4" t="str">
        <f>"404510004"</f>
        <v>404510004</v>
      </c>
      <c r="B11" s="4" t="s">
        <v>1652</v>
      </c>
      <c r="C11" s="50">
        <v>1</v>
      </c>
      <c r="D11" s="50"/>
      <c r="E11" s="50">
        <v>1</v>
      </c>
      <c r="I11" s="50">
        <v>1</v>
      </c>
      <c r="M11" s="118">
        <f t="shared" si="0"/>
        <v>3</v>
      </c>
    </row>
    <row r="12" spans="1:17">
      <c r="A12" s="4" t="str">
        <f>"404510005"</f>
        <v>404510005</v>
      </c>
      <c r="B12" s="4" t="s">
        <v>1653</v>
      </c>
      <c r="C12" s="50">
        <v>1</v>
      </c>
      <c r="D12" s="50"/>
      <c r="I12" s="50">
        <v>1</v>
      </c>
      <c r="M12" s="118">
        <f t="shared" si="0"/>
        <v>2</v>
      </c>
    </row>
    <row r="13" spans="1:17">
      <c r="A13" s="4" t="str">
        <f>"404510006"</f>
        <v>404510006</v>
      </c>
      <c r="B13" s="4" t="s">
        <v>1654</v>
      </c>
      <c r="C13" s="50">
        <v>1</v>
      </c>
      <c r="D13" s="50"/>
      <c r="I13" s="50">
        <v>1</v>
      </c>
      <c r="M13" s="118">
        <f t="shared" si="0"/>
        <v>2</v>
      </c>
    </row>
    <row r="14" spans="1:17">
      <c r="A14" s="4" t="str">
        <f>"404510007"</f>
        <v>404510007</v>
      </c>
      <c r="B14" s="4" t="s">
        <v>1655</v>
      </c>
      <c r="C14" s="50">
        <v>1</v>
      </c>
      <c r="D14" s="50"/>
      <c r="I14" s="50">
        <v>1</v>
      </c>
      <c r="K14" s="50">
        <v>1</v>
      </c>
      <c r="M14" s="118">
        <f t="shared" si="0"/>
        <v>3</v>
      </c>
    </row>
    <row r="15" spans="1:17">
      <c r="A15" s="4" t="str">
        <f>"404510008"</f>
        <v>404510008</v>
      </c>
      <c r="B15" s="4" t="s">
        <v>1656</v>
      </c>
      <c r="C15" s="50">
        <v>1</v>
      </c>
      <c r="D15" s="50"/>
      <c r="E15" s="50">
        <v>1</v>
      </c>
      <c r="I15" s="50">
        <v>1</v>
      </c>
      <c r="M15" s="118">
        <f t="shared" si="0"/>
        <v>3</v>
      </c>
    </row>
    <row r="16" spans="1:17">
      <c r="A16" s="4" t="str">
        <f>"404510009"</f>
        <v>404510009</v>
      </c>
      <c r="B16" s="4" t="s">
        <v>1657</v>
      </c>
      <c r="C16" s="50">
        <v>1</v>
      </c>
      <c r="D16" s="50"/>
      <c r="E16" s="50">
        <v>1</v>
      </c>
      <c r="G16" s="50">
        <v>1</v>
      </c>
      <c r="I16" s="50">
        <v>1</v>
      </c>
      <c r="J16" s="50">
        <v>1</v>
      </c>
      <c r="M16" s="118">
        <f t="shared" si="0"/>
        <v>5</v>
      </c>
    </row>
    <row r="17" spans="1:13">
      <c r="A17" s="4" t="str">
        <f>"404510010"</f>
        <v>404510010</v>
      </c>
      <c r="B17" s="4" t="s">
        <v>1658</v>
      </c>
      <c r="C17" s="50">
        <v>1</v>
      </c>
      <c r="D17" s="50"/>
      <c r="E17" s="50">
        <v>1</v>
      </c>
      <c r="I17" s="50">
        <v>1</v>
      </c>
      <c r="M17" s="118">
        <f t="shared" si="0"/>
        <v>3</v>
      </c>
    </row>
    <row r="18" spans="1:13">
      <c r="A18" s="4" t="str">
        <f>"404510011"</f>
        <v>404510011</v>
      </c>
      <c r="B18" s="4" t="s">
        <v>1659</v>
      </c>
      <c r="C18" s="50">
        <v>1</v>
      </c>
      <c r="D18" s="50"/>
      <c r="E18" s="50">
        <v>1</v>
      </c>
      <c r="I18" s="50">
        <v>1</v>
      </c>
      <c r="J18" s="50">
        <v>1</v>
      </c>
      <c r="M18" s="118">
        <f t="shared" si="0"/>
        <v>4</v>
      </c>
    </row>
    <row r="19" spans="1:13">
      <c r="A19" s="4" t="str">
        <f>"404510012"</f>
        <v>404510012</v>
      </c>
      <c r="B19" s="4" t="s">
        <v>1660</v>
      </c>
      <c r="C19" s="50">
        <v>1</v>
      </c>
      <c r="D19" s="50"/>
      <c r="I19" s="50">
        <v>1</v>
      </c>
      <c r="J19" s="50">
        <v>1</v>
      </c>
      <c r="M19" s="118">
        <f t="shared" si="0"/>
        <v>3</v>
      </c>
    </row>
    <row r="20" spans="1:13">
      <c r="A20" s="4" t="str">
        <f>"404510013"</f>
        <v>404510013</v>
      </c>
      <c r="B20" s="4" t="s">
        <v>1661</v>
      </c>
      <c r="C20" s="50">
        <v>1</v>
      </c>
      <c r="D20" s="50"/>
      <c r="E20" s="50">
        <v>1</v>
      </c>
      <c r="I20" s="50">
        <v>1</v>
      </c>
      <c r="J20" s="50">
        <v>1</v>
      </c>
      <c r="M20" s="118">
        <f t="shared" si="0"/>
        <v>4</v>
      </c>
    </row>
    <row r="21" spans="1:13">
      <c r="A21" s="4" t="str">
        <f>"404510014"</f>
        <v>404510014</v>
      </c>
      <c r="B21" s="4" t="s">
        <v>1662</v>
      </c>
      <c r="C21" s="50">
        <v>1</v>
      </c>
      <c r="D21" s="50"/>
      <c r="I21" s="50">
        <v>1</v>
      </c>
      <c r="M21" s="118">
        <f t="shared" si="0"/>
        <v>2</v>
      </c>
    </row>
    <row r="22" spans="1:13">
      <c r="A22" s="4" t="str">
        <f>"404510015"</f>
        <v>404510015</v>
      </c>
      <c r="B22" s="4" t="s">
        <v>1663</v>
      </c>
      <c r="C22" s="50">
        <v>1</v>
      </c>
      <c r="D22" s="50"/>
      <c r="E22" s="50">
        <v>1</v>
      </c>
      <c r="G22" s="50">
        <v>1</v>
      </c>
      <c r="J22" s="50">
        <v>1</v>
      </c>
      <c r="M22" s="118">
        <f t="shared" si="0"/>
        <v>4</v>
      </c>
    </row>
    <row r="23" spans="1:13">
      <c r="A23" s="4" t="str">
        <f>"404510016"</f>
        <v>404510016</v>
      </c>
      <c r="B23" s="4" t="s">
        <v>1664</v>
      </c>
      <c r="C23" s="50">
        <v>1</v>
      </c>
      <c r="D23" s="50"/>
      <c r="J23" s="50">
        <v>1</v>
      </c>
      <c r="M23" s="118">
        <f t="shared" si="0"/>
        <v>2</v>
      </c>
    </row>
    <row r="24" spans="1:13">
      <c r="A24" s="4" t="str">
        <f>"404510017"</f>
        <v>404510017</v>
      </c>
      <c r="B24" s="4" t="s">
        <v>1665</v>
      </c>
      <c r="C24" s="50">
        <v>1</v>
      </c>
      <c r="D24" s="50"/>
      <c r="I24" s="50">
        <v>1</v>
      </c>
      <c r="M24" s="118">
        <f t="shared" si="0"/>
        <v>2</v>
      </c>
    </row>
    <row r="25" spans="1:13">
      <c r="A25" s="4" t="str">
        <f>"404510018"</f>
        <v>404510018</v>
      </c>
      <c r="B25" s="4" t="s">
        <v>1666</v>
      </c>
      <c r="C25" s="50">
        <v>1</v>
      </c>
      <c r="D25" s="50"/>
      <c r="M25" s="118">
        <f t="shared" si="0"/>
        <v>1</v>
      </c>
    </row>
    <row r="26" spans="1:13">
      <c r="A26" s="4" t="str">
        <f>"404510019"</f>
        <v>404510019</v>
      </c>
      <c r="B26" s="4" t="s">
        <v>1667</v>
      </c>
      <c r="C26" s="50">
        <v>1</v>
      </c>
      <c r="D26" s="50"/>
      <c r="E26" s="50">
        <v>1</v>
      </c>
      <c r="I26" s="50">
        <v>1</v>
      </c>
      <c r="M26" s="118">
        <f t="shared" si="0"/>
        <v>3</v>
      </c>
    </row>
    <row r="27" spans="1:13">
      <c r="A27" s="4" t="str">
        <f>"404510020"</f>
        <v>404510020</v>
      </c>
      <c r="B27" s="4" t="s">
        <v>1668</v>
      </c>
      <c r="C27" s="50">
        <v>1</v>
      </c>
      <c r="D27" s="50"/>
      <c r="I27" s="50">
        <v>1</v>
      </c>
      <c r="J27" s="50">
        <v>1</v>
      </c>
      <c r="M27" s="118">
        <f t="shared" si="0"/>
        <v>3</v>
      </c>
    </row>
    <row r="28" spans="1:13">
      <c r="A28" s="4" t="str">
        <f>"404510021"</f>
        <v>404510021</v>
      </c>
      <c r="B28" s="4" t="s">
        <v>1669</v>
      </c>
      <c r="C28" s="50">
        <v>1</v>
      </c>
      <c r="D28" s="50"/>
      <c r="I28" s="50">
        <v>1</v>
      </c>
      <c r="M28" s="118">
        <f t="shared" si="0"/>
        <v>2</v>
      </c>
    </row>
    <row r="29" spans="1:13">
      <c r="A29" s="4" t="str">
        <f>"404510022"</f>
        <v>404510022</v>
      </c>
      <c r="B29" s="4" t="s">
        <v>1670</v>
      </c>
      <c r="C29" s="50">
        <v>1</v>
      </c>
      <c r="D29" s="50"/>
      <c r="G29" s="50">
        <v>1</v>
      </c>
      <c r="I29" s="50">
        <v>1</v>
      </c>
      <c r="J29" s="50">
        <v>1</v>
      </c>
      <c r="M29" s="118">
        <f t="shared" si="0"/>
        <v>4</v>
      </c>
    </row>
    <row r="30" spans="1:13">
      <c r="A30" s="4" t="str">
        <f>"404510023"</f>
        <v>404510023</v>
      </c>
      <c r="B30" s="4" t="s">
        <v>1671</v>
      </c>
      <c r="C30" s="50">
        <v>1</v>
      </c>
      <c r="D30" s="50"/>
      <c r="K30" s="50">
        <v>1</v>
      </c>
      <c r="M30" s="118">
        <f t="shared" si="0"/>
        <v>2</v>
      </c>
    </row>
    <row r="31" spans="1:13">
      <c r="A31" s="4" t="str">
        <f>"404510024"</f>
        <v>404510024</v>
      </c>
      <c r="B31" s="4" t="s">
        <v>1672</v>
      </c>
      <c r="C31" s="50">
        <v>1</v>
      </c>
      <c r="D31" s="50"/>
      <c r="M31" s="118">
        <f t="shared" si="0"/>
        <v>1</v>
      </c>
    </row>
    <row r="32" spans="1:13">
      <c r="A32" s="4" t="str">
        <f>"404510025"</f>
        <v>404510025</v>
      </c>
      <c r="B32" s="4" t="s">
        <v>1536</v>
      </c>
      <c r="C32" s="50">
        <v>1</v>
      </c>
      <c r="D32" s="50"/>
      <c r="M32" s="118">
        <f t="shared" si="0"/>
        <v>1</v>
      </c>
    </row>
    <row r="33" spans="1:13">
      <c r="A33" s="4" t="str">
        <f>"404510026"</f>
        <v>404510026</v>
      </c>
      <c r="B33" s="4" t="s">
        <v>1673</v>
      </c>
      <c r="C33" s="50">
        <v>1</v>
      </c>
      <c r="D33" s="50"/>
      <c r="I33" s="50">
        <v>1</v>
      </c>
      <c r="M33" s="118">
        <f t="shared" si="0"/>
        <v>2</v>
      </c>
    </row>
    <row r="34" spans="1:13">
      <c r="A34" s="4" t="str">
        <f>"404510028"</f>
        <v>404510028</v>
      </c>
      <c r="B34" s="4" t="s">
        <v>1674</v>
      </c>
      <c r="C34" s="50">
        <v>1</v>
      </c>
      <c r="D34" s="50"/>
      <c r="I34" s="50">
        <v>1</v>
      </c>
      <c r="K34" s="50">
        <v>1</v>
      </c>
      <c r="M34" s="118">
        <f t="shared" si="0"/>
        <v>3</v>
      </c>
    </row>
    <row r="35" spans="1:13">
      <c r="A35" s="4" t="str">
        <f>"404510031"</f>
        <v>404510031</v>
      </c>
      <c r="B35" s="4" t="s">
        <v>1675</v>
      </c>
      <c r="C35" s="50">
        <v>1</v>
      </c>
      <c r="D35" s="50"/>
      <c r="G35" s="50">
        <v>1</v>
      </c>
      <c r="I35" s="50">
        <v>1</v>
      </c>
      <c r="M35" s="118">
        <f t="shared" si="0"/>
        <v>3</v>
      </c>
    </row>
    <row r="36" spans="1:13">
      <c r="A36" s="4" t="str">
        <f>"404510032"</f>
        <v>404510032</v>
      </c>
      <c r="B36" s="4" t="s">
        <v>1676</v>
      </c>
      <c r="C36" s="50">
        <v>1</v>
      </c>
      <c r="D36" s="50"/>
      <c r="I36" s="50">
        <v>1</v>
      </c>
      <c r="J36" s="50">
        <v>1</v>
      </c>
      <c r="M36" s="118">
        <f t="shared" si="0"/>
        <v>3</v>
      </c>
    </row>
    <row r="37" spans="1:13">
      <c r="A37" s="4" t="str">
        <f>"404510033"</f>
        <v>404510033</v>
      </c>
      <c r="B37" s="4" t="s">
        <v>1677</v>
      </c>
      <c r="C37" s="50">
        <v>1</v>
      </c>
      <c r="D37" s="50"/>
      <c r="E37" s="50">
        <v>1</v>
      </c>
      <c r="I37" s="50">
        <v>1</v>
      </c>
      <c r="M37" s="118">
        <f t="shared" si="0"/>
        <v>3</v>
      </c>
    </row>
    <row r="38" spans="1:13">
      <c r="A38" s="4" t="str">
        <f>"404510034"</f>
        <v>404510034</v>
      </c>
      <c r="B38" s="4" t="s">
        <v>1678</v>
      </c>
      <c r="C38" s="50">
        <v>1</v>
      </c>
      <c r="D38" s="50"/>
      <c r="I38" s="50">
        <v>1</v>
      </c>
      <c r="M38" s="118">
        <f t="shared" si="0"/>
        <v>2</v>
      </c>
    </row>
    <row r="39" spans="1:13">
      <c r="A39" s="4" t="str">
        <f>"404510035"</f>
        <v>404510035</v>
      </c>
      <c r="B39" s="4" t="s">
        <v>1679</v>
      </c>
      <c r="C39" s="50">
        <v>1</v>
      </c>
      <c r="D39" s="50"/>
      <c r="M39" s="118">
        <f t="shared" si="0"/>
        <v>1</v>
      </c>
    </row>
    <row r="40" spans="1:13">
      <c r="A40" s="4" t="str">
        <f>"404510036"</f>
        <v>404510036</v>
      </c>
      <c r="B40" s="4" t="s">
        <v>1680</v>
      </c>
      <c r="C40" s="50">
        <v>1</v>
      </c>
      <c r="D40" s="50"/>
      <c r="I40" s="50">
        <v>1</v>
      </c>
      <c r="J40" s="50">
        <v>1</v>
      </c>
      <c r="M40" s="118">
        <f t="shared" si="0"/>
        <v>3</v>
      </c>
    </row>
    <row r="41" spans="1:13">
      <c r="A41" s="4" t="str">
        <f>"404510037"</f>
        <v>404510037</v>
      </c>
      <c r="B41" s="4" t="s">
        <v>1681</v>
      </c>
      <c r="C41" s="50">
        <v>1</v>
      </c>
      <c r="D41" s="50"/>
      <c r="I41" s="50">
        <v>1</v>
      </c>
      <c r="J41" s="50">
        <v>1</v>
      </c>
      <c r="M41" s="118">
        <f t="shared" si="0"/>
        <v>3</v>
      </c>
    </row>
    <row r="42" spans="1:13">
      <c r="A42" s="4" t="str">
        <f>"404510038"</f>
        <v>404510038</v>
      </c>
      <c r="B42" s="4" t="s">
        <v>1682</v>
      </c>
      <c r="C42" s="50">
        <v>1</v>
      </c>
      <c r="D42" s="50"/>
      <c r="G42" s="50">
        <v>1</v>
      </c>
      <c r="I42" s="50">
        <v>1</v>
      </c>
      <c r="M42" s="118">
        <f t="shared" si="0"/>
        <v>3</v>
      </c>
    </row>
    <row r="43" spans="1:13">
      <c r="A43" s="4" t="str">
        <f>"404510039"</f>
        <v>404510039</v>
      </c>
      <c r="B43" s="4" t="s">
        <v>1683</v>
      </c>
      <c r="C43" s="50">
        <v>1</v>
      </c>
      <c r="D43" s="50"/>
      <c r="E43" s="50">
        <v>1</v>
      </c>
      <c r="I43" s="50">
        <v>1</v>
      </c>
      <c r="M43" s="118">
        <f t="shared" si="0"/>
        <v>3</v>
      </c>
    </row>
    <row r="44" spans="1:13">
      <c r="A44" s="4" t="str">
        <f>"404510040"</f>
        <v>404510040</v>
      </c>
      <c r="B44" s="4" t="s">
        <v>1684</v>
      </c>
      <c r="C44" s="50">
        <v>1</v>
      </c>
      <c r="D44" s="50"/>
      <c r="J44" s="50">
        <v>1</v>
      </c>
      <c r="M44" s="118">
        <f t="shared" si="0"/>
        <v>2</v>
      </c>
    </row>
    <row r="45" spans="1:13">
      <c r="A45" s="4" t="str">
        <f>"404510041"</f>
        <v>404510041</v>
      </c>
      <c r="B45" s="4" t="s">
        <v>1685</v>
      </c>
      <c r="C45" s="50">
        <v>1</v>
      </c>
      <c r="D45" s="50"/>
      <c r="E45" s="50">
        <v>1</v>
      </c>
      <c r="I45" s="50">
        <v>1</v>
      </c>
      <c r="J45" s="50">
        <v>1</v>
      </c>
      <c r="M45" s="118">
        <f t="shared" si="0"/>
        <v>4</v>
      </c>
    </row>
    <row r="46" spans="1:13">
      <c r="A46" s="4" t="str">
        <f>"404510042"</f>
        <v>404510042</v>
      </c>
      <c r="B46" s="4" t="s">
        <v>1686</v>
      </c>
      <c r="C46" s="50">
        <v>1</v>
      </c>
      <c r="D46" s="50"/>
      <c r="E46" s="50">
        <v>1</v>
      </c>
      <c r="M46" s="118">
        <f t="shared" si="0"/>
        <v>2</v>
      </c>
    </row>
    <row r="47" spans="1:13">
      <c r="A47" s="4" t="str">
        <f>"404510043"</f>
        <v>404510043</v>
      </c>
      <c r="B47" s="4" t="s">
        <v>1687</v>
      </c>
      <c r="C47" s="50">
        <v>1</v>
      </c>
      <c r="D47" s="50"/>
      <c r="I47" s="50">
        <v>1</v>
      </c>
      <c r="K47" s="50">
        <v>1</v>
      </c>
      <c r="M47" s="118">
        <f t="shared" si="0"/>
        <v>3</v>
      </c>
    </row>
    <row r="48" spans="1:13">
      <c r="A48" s="4" t="str">
        <f>"404510044"</f>
        <v>404510044</v>
      </c>
      <c r="B48" s="4" t="s">
        <v>1688</v>
      </c>
      <c r="C48" s="50">
        <v>1</v>
      </c>
      <c r="D48" s="50"/>
      <c r="E48" s="50">
        <v>1</v>
      </c>
      <c r="I48" s="50">
        <v>1</v>
      </c>
      <c r="M48" s="118">
        <f t="shared" si="0"/>
        <v>3</v>
      </c>
    </row>
    <row r="49" spans="1:13">
      <c r="A49" s="4" t="str">
        <f>"404510045"</f>
        <v>404510045</v>
      </c>
      <c r="B49" s="4" t="s">
        <v>1689</v>
      </c>
      <c r="C49" s="50">
        <v>1</v>
      </c>
      <c r="D49" s="50"/>
      <c r="E49" s="50">
        <v>1</v>
      </c>
      <c r="I49" s="50">
        <v>1</v>
      </c>
      <c r="M49" s="118">
        <f t="shared" si="0"/>
        <v>3</v>
      </c>
    </row>
    <row r="50" spans="1:13">
      <c r="A50" s="4" t="str">
        <f>"404510046"</f>
        <v>404510046</v>
      </c>
      <c r="B50" s="4" t="s">
        <v>1690</v>
      </c>
      <c r="C50" s="50">
        <v>1</v>
      </c>
      <c r="D50" s="50"/>
      <c r="E50" s="50">
        <v>1</v>
      </c>
      <c r="G50" s="50">
        <v>1</v>
      </c>
      <c r="I50" s="50">
        <v>1</v>
      </c>
      <c r="J50" s="50">
        <v>1</v>
      </c>
      <c r="M50" s="118">
        <f t="shared" si="0"/>
        <v>5</v>
      </c>
    </row>
    <row r="51" spans="1:13">
      <c r="A51" s="4" t="str">
        <f>"404510047"</f>
        <v>404510047</v>
      </c>
      <c r="B51" s="4" t="s">
        <v>1691</v>
      </c>
      <c r="C51" s="50">
        <v>1</v>
      </c>
      <c r="D51" s="50"/>
      <c r="I51" s="50">
        <v>1</v>
      </c>
      <c r="M51" s="118">
        <f t="shared" si="0"/>
        <v>2</v>
      </c>
    </row>
    <row r="52" spans="1:13">
      <c r="A52" s="4" t="str">
        <f>"404510048"</f>
        <v>404510048</v>
      </c>
      <c r="B52" s="4" t="s">
        <v>1692</v>
      </c>
      <c r="C52" s="50">
        <v>1</v>
      </c>
      <c r="D52" s="50">
        <v>1</v>
      </c>
      <c r="M52" s="118">
        <f t="shared" si="0"/>
        <v>2</v>
      </c>
    </row>
    <row r="53" spans="1:13">
      <c r="A53" s="4" t="str">
        <f>"404510049"</f>
        <v>404510049</v>
      </c>
      <c r="B53" s="4" t="s">
        <v>1693</v>
      </c>
      <c r="C53" s="50">
        <v>1</v>
      </c>
      <c r="D53" s="50"/>
      <c r="I53" s="50">
        <v>1</v>
      </c>
      <c r="J53" s="50">
        <v>1</v>
      </c>
      <c r="M53" s="118">
        <f t="shared" si="0"/>
        <v>3</v>
      </c>
    </row>
    <row r="54" spans="1:13">
      <c r="A54" s="4" t="str">
        <f>"404510050"</f>
        <v>404510050</v>
      </c>
      <c r="B54" s="4" t="s">
        <v>1694</v>
      </c>
      <c r="C54" s="50">
        <v>1</v>
      </c>
      <c r="D54" s="50"/>
      <c r="K54" s="50">
        <v>1</v>
      </c>
      <c r="M54" s="118">
        <f t="shared" si="0"/>
        <v>2</v>
      </c>
    </row>
    <row r="55" spans="1:13">
      <c r="A55" s="4" t="str">
        <f>"404510051"</f>
        <v>404510051</v>
      </c>
      <c r="B55" s="4" t="s">
        <v>1695</v>
      </c>
      <c r="C55" s="50">
        <v>1</v>
      </c>
      <c r="D55" s="50"/>
      <c r="M55" s="118">
        <f t="shared" si="0"/>
        <v>1</v>
      </c>
    </row>
    <row r="56" spans="1:13">
      <c r="A56" s="4" t="str">
        <f>"404510052"</f>
        <v>404510052</v>
      </c>
      <c r="B56" s="4" t="s">
        <v>1696</v>
      </c>
      <c r="C56" s="50">
        <v>1</v>
      </c>
      <c r="D56" s="50"/>
      <c r="E56" s="50">
        <v>1</v>
      </c>
      <c r="G56" s="50">
        <v>1</v>
      </c>
      <c r="J56" s="50">
        <v>1</v>
      </c>
      <c r="M56" s="118">
        <f t="shared" si="0"/>
        <v>4</v>
      </c>
    </row>
    <row r="57" spans="1:13">
      <c r="A57" s="4" t="str">
        <f>"404510053"</f>
        <v>404510053</v>
      </c>
      <c r="B57" s="4" t="s">
        <v>1697</v>
      </c>
      <c r="C57" s="50">
        <v>1</v>
      </c>
      <c r="D57" s="50"/>
      <c r="G57" s="50">
        <v>1</v>
      </c>
      <c r="I57" s="50">
        <v>1</v>
      </c>
      <c r="J57" s="50">
        <v>1</v>
      </c>
      <c r="M57" s="118">
        <f t="shared" si="0"/>
        <v>4</v>
      </c>
    </row>
    <row r="58" spans="1:13">
      <c r="A58" s="4" t="str">
        <f>"404510054"</f>
        <v>404510054</v>
      </c>
      <c r="B58" s="4" t="s">
        <v>1698</v>
      </c>
      <c r="C58" s="50">
        <v>1</v>
      </c>
      <c r="D58" s="50"/>
      <c r="I58" s="50">
        <v>1</v>
      </c>
      <c r="M58" s="118">
        <f t="shared" si="0"/>
        <v>2</v>
      </c>
    </row>
    <row r="59" spans="1:13">
      <c r="A59" s="4" t="str">
        <f>"404510055"</f>
        <v>404510055</v>
      </c>
      <c r="B59" s="4" t="s">
        <v>1699</v>
      </c>
      <c r="C59" s="50">
        <v>1</v>
      </c>
      <c r="D59" s="50"/>
      <c r="G59" s="50">
        <v>1</v>
      </c>
      <c r="M59" s="118">
        <f t="shared" si="0"/>
        <v>2</v>
      </c>
    </row>
    <row r="60" spans="1:13">
      <c r="A60" s="4" t="str">
        <f>"404510056"</f>
        <v>404510056</v>
      </c>
      <c r="B60" s="4" t="s">
        <v>1700</v>
      </c>
      <c r="C60" s="50">
        <v>1</v>
      </c>
      <c r="D60" s="50"/>
      <c r="I60" s="50">
        <v>1</v>
      </c>
      <c r="M60" s="118">
        <f t="shared" si="0"/>
        <v>2</v>
      </c>
    </row>
    <row r="61" spans="1:13">
      <c r="A61" s="4" t="str">
        <f>"404510057"</f>
        <v>404510057</v>
      </c>
      <c r="B61" s="4" t="s">
        <v>1701</v>
      </c>
      <c r="C61" s="50">
        <v>1</v>
      </c>
      <c r="D61" s="50"/>
      <c r="K61" s="50">
        <v>1</v>
      </c>
      <c r="M61" s="118">
        <f t="shared" si="0"/>
        <v>2</v>
      </c>
    </row>
    <row r="62" spans="1:13">
      <c r="A62" s="4" t="str">
        <f>"404510058"</f>
        <v>404510058</v>
      </c>
      <c r="B62" s="4" t="s">
        <v>1702</v>
      </c>
      <c r="C62" s="50">
        <v>1</v>
      </c>
      <c r="D62" s="50"/>
      <c r="E62" s="50">
        <v>1</v>
      </c>
      <c r="G62" s="50">
        <v>1</v>
      </c>
      <c r="J62" s="50">
        <v>1</v>
      </c>
      <c r="M62" s="118">
        <f t="shared" si="0"/>
        <v>4</v>
      </c>
    </row>
    <row r="63" spans="1:13">
      <c r="A63" s="4" t="str">
        <f>"404510059"</f>
        <v>404510059</v>
      </c>
      <c r="B63" s="4" t="s">
        <v>1703</v>
      </c>
      <c r="C63" s="50">
        <v>1</v>
      </c>
      <c r="D63" s="50"/>
      <c r="M63" s="118">
        <f t="shared" si="0"/>
        <v>1</v>
      </c>
    </row>
    <row r="64" spans="1:13">
      <c r="A64" s="4" t="str">
        <f>"404510060"</f>
        <v>404510060</v>
      </c>
      <c r="B64" s="4" t="s">
        <v>1704</v>
      </c>
      <c r="C64" s="50">
        <v>1</v>
      </c>
      <c r="D64" s="50"/>
      <c r="I64" s="50">
        <v>1</v>
      </c>
      <c r="M64" s="118">
        <f t="shared" si="0"/>
        <v>2</v>
      </c>
    </row>
    <row r="65" spans="1:13">
      <c r="A65" s="4" t="str">
        <f>"404510063"</f>
        <v>404510063</v>
      </c>
      <c r="B65" s="4" t="s">
        <v>1531</v>
      </c>
      <c r="C65" s="50">
        <v>1</v>
      </c>
      <c r="D65" s="50"/>
      <c r="M65" s="118">
        <f t="shared" si="0"/>
        <v>1</v>
      </c>
    </row>
    <row r="66" spans="1:13">
      <c r="A66" s="4" t="str">
        <f>"404510064"</f>
        <v>404510064</v>
      </c>
      <c r="B66" s="4" t="s">
        <v>1705</v>
      </c>
      <c r="C66" s="50">
        <v>1</v>
      </c>
      <c r="D66" s="50"/>
      <c r="I66" s="50">
        <v>1</v>
      </c>
      <c r="K66" s="50">
        <v>1</v>
      </c>
      <c r="M66" s="118">
        <f t="shared" si="0"/>
        <v>3</v>
      </c>
    </row>
    <row r="67" spans="1:13">
      <c r="A67" s="4" t="str">
        <f>"404510065"</f>
        <v>404510065</v>
      </c>
      <c r="B67" s="4" t="s">
        <v>1706</v>
      </c>
      <c r="C67" s="50">
        <v>1</v>
      </c>
      <c r="D67" s="50"/>
      <c r="G67" s="50">
        <v>1</v>
      </c>
      <c r="J67" s="50">
        <v>1</v>
      </c>
      <c r="M67" s="118">
        <f t="shared" si="0"/>
        <v>3</v>
      </c>
    </row>
    <row r="68" spans="1:13">
      <c r="A68" s="4" t="str">
        <f>"404510066"</f>
        <v>404510066</v>
      </c>
      <c r="B68" s="4" t="s">
        <v>1532</v>
      </c>
      <c r="C68" s="50">
        <v>1</v>
      </c>
      <c r="D68" s="50"/>
      <c r="M68" s="118">
        <f t="shared" si="0"/>
        <v>1</v>
      </c>
    </row>
    <row r="69" spans="1:13">
      <c r="A69" s="4" t="str">
        <f>"404510067"</f>
        <v>404510067</v>
      </c>
      <c r="B69" s="4" t="s">
        <v>1707</v>
      </c>
      <c r="C69" s="50">
        <v>1</v>
      </c>
      <c r="D69" s="50"/>
      <c r="M69" s="118">
        <f t="shared" ref="M69:M123" si="1">SUM(C69:L69)</f>
        <v>1</v>
      </c>
    </row>
    <row r="70" spans="1:13">
      <c r="A70" s="4" t="str">
        <f>"404510068"</f>
        <v>404510068</v>
      </c>
      <c r="B70" s="4" t="s">
        <v>1533</v>
      </c>
      <c r="C70" s="50">
        <v>1</v>
      </c>
      <c r="D70" s="50"/>
      <c r="M70" s="118">
        <f t="shared" si="1"/>
        <v>1</v>
      </c>
    </row>
    <row r="71" spans="1:13">
      <c r="A71" s="4" t="str">
        <f>"404510069"</f>
        <v>404510069</v>
      </c>
      <c r="B71" s="4" t="s">
        <v>1708</v>
      </c>
      <c r="C71" s="50">
        <v>1</v>
      </c>
      <c r="D71" s="50"/>
      <c r="E71" s="50">
        <v>1</v>
      </c>
      <c r="I71" s="50">
        <v>1</v>
      </c>
      <c r="M71" s="118">
        <f t="shared" si="1"/>
        <v>3</v>
      </c>
    </row>
    <row r="72" spans="1:13">
      <c r="A72" s="4" t="str">
        <f>"404510070"</f>
        <v>404510070</v>
      </c>
      <c r="B72" s="4" t="s">
        <v>1709</v>
      </c>
      <c r="C72" s="50">
        <v>1</v>
      </c>
      <c r="D72" s="50"/>
      <c r="E72" s="50">
        <v>1</v>
      </c>
      <c r="G72" s="50">
        <v>1</v>
      </c>
      <c r="I72" s="50">
        <v>1</v>
      </c>
      <c r="J72" s="50">
        <v>1</v>
      </c>
      <c r="M72" s="118">
        <f t="shared" si="1"/>
        <v>5</v>
      </c>
    </row>
    <row r="73" spans="1:13">
      <c r="A73" s="4" t="str">
        <f>"404510071"</f>
        <v>404510071</v>
      </c>
      <c r="B73" s="4" t="s">
        <v>1710</v>
      </c>
      <c r="C73" s="50">
        <v>1</v>
      </c>
      <c r="D73" s="50"/>
      <c r="I73" s="50">
        <v>1</v>
      </c>
      <c r="L73" s="50">
        <v>1</v>
      </c>
      <c r="M73" s="118">
        <f t="shared" si="1"/>
        <v>3</v>
      </c>
    </row>
    <row r="74" spans="1:13">
      <c r="A74" s="4" t="str">
        <f>"404510072"</f>
        <v>404510072</v>
      </c>
      <c r="B74" s="4" t="s">
        <v>1711</v>
      </c>
      <c r="C74" s="50">
        <v>1</v>
      </c>
      <c r="D74" s="50"/>
      <c r="I74" s="50">
        <v>1</v>
      </c>
      <c r="J74" s="50">
        <v>1</v>
      </c>
      <c r="M74" s="118">
        <f t="shared" si="1"/>
        <v>3</v>
      </c>
    </row>
    <row r="75" spans="1:13">
      <c r="A75" s="4" t="str">
        <f>"404510073"</f>
        <v>404510073</v>
      </c>
      <c r="B75" s="4" t="s">
        <v>1712</v>
      </c>
      <c r="C75" s="50">
        <v>1</v>
      </c>
      <c r="D75" s="50"/>
      <c r="M75" s="118">
        <f t="shared" si="1"/>
        <v>1</v>
      </c>
    </row>
    <row r="76" spans="1:13">
      <c r="A76" s="4" t="str">
        <f>"404510075"</f>
        <v>404510075</v>
      </c>
      <c r="B76" s="4" t="s">
        <v>1713</v>
      </c>
      <c r="C76" s="50">
        <v>1</v>
      </c>
      <c r="D76" s="50"/>
      <c r="M76" s="118">
        <f t="shared" si="1"/>
        <v>1</v>
      </c>
    </row>
    <row r="77" spans="1:13">
      <c r="A77" s="4" t="str">
        <f>"404510076"</f>
        <v>404510076</v>
      </c>
      <c r="B77" s="4" t="s">
        <v>1714</v>
      </c>
      <c r="C77" s="50">
        <v>1</v>
      </c>
      <c r="D77" s="50"/>
      <c r="I77" s="50">
        <v>1</v>
      </c>
      <c r="J77" s="50">
        <v>1</v>
      </c>
      <c r="M77" s="118">
        <f t="shared" si="1"/>
        <v>3</v>
      </c>
    </row>
    <row r="78" spans="1:13">
      <c r="A78" s="4" t="str">
        <f>"404510077"</f>
        <v>404510077</v>
      </c>
      <c r="B78" s="4" t="s">
        <v>1715</v>
      </c>
      <c r="C78" s="50">
        <v>1</v>
      </c>
      <c r="D78" s="50"/>
      <c r="E78" s="50">
        <v>1</v>
      </c>
      <c r="G78" s="50">
        <v>1</v>
      </c>
      <c r="M78" s="118">
        <f t="shared" si="1"/>
        <v>3</v>
      </c>
    </row>
    <row r="79" spans="1:13">
      <c r="A79" s="4" t="str">
        <f>"404510078"</f>
        <v>404510078</v>
      </c>
      <c r="B79" s="4" t="s">
        <v>1716</v>
      </c>
      <c r="C79" s="50">
        <v>1</v>
      </c>
      <c r="D79" s="50"/>
      <c r="M79" s="118">
        <f t="shared" si="1"/>
        <v>1</v>
      </c>
    </row>
    <row r="80" spans="1:13">
      <c r="A80" s="4" t="str">
        <f>"404510079"</f>
        <v>404510079</v>
      </c>
      <c r="B80" s="4" t="s">
        <v>1717</v>
      </c>
      <c r="C80" s="50">
        <v>1</v>
      </c>
      <c r="D80" s="50"/>
      <c r="M80" s="118">
        <f t="shared" si="1"/>
        <v>1</v>
      </c>
    </row>
    <row r="81" spans="1:13">
      <c r="A81" s="4" t="str">
        <f>"404510080"</f>
        <v>404510080</v>
      </c>
      <c r="B81" s="4" t="s">
        <v>1718</v>
      </c>
      <c r="C81" s="50">
        <v>1</v>
      </c>
      <c r="D81" s="50"/>
      <c r="E81" s="50">
        <v>1</v>
      </c>
      <c r="G81" s="50">
        <v>1</v>
      </c>
      <c r="I81" s="50">
        <v>1</v>
      </c>
      <c r="J81" s="50">
        <v>1</v>
      </c>
      <c r="M81" s="118">
        <f t="shared" si="1"/>
        <v>5</v>
      </c>
    </row>
    <row r="82" spans="1:13">
      <c r="A82" s="4" t="str">
        <f>"404510081"</f>
        <v>404510081</v>
      </c>
      <c r="B82" s="4" t="s">
        <v>1719</v>
      </c>
      <c r="C82" s="50">
        <v>1</v>
      </c>
      <c r="D82" s="50"/>
      <c r="M82" s="118">
        <f t="shared" si="1"/>
        <v>1</v>
      </c>
    </row>
    <row r="83" spans="1:13">
      <c r="A83" s="4" t="str">
        <f>"404510082"</f>
        <v>404510082</v>
      </c>
      <c r="B83" s="4" t="s">
        <v>1720</v>
      </c>
      <c r="C83" s="50">
        <v>1</v>
      </c>
      <c r="D83" s="50"/>
      <c r="E83" s="50">
        <v>1</v>
      </c>
      <c r="I83" s="50">
        <v>1</v>
      </c>
      <c r="M83" s="118">
        <f t="shared" si="1"/>
        <v>3</v>
      </c>
    </row>
    <row r="84" spans="1:13">
      <c r="A84" s="4" t="str">
        <f>"404510083"</f>
        <v>404510083</v>
      </c>
      <c r="B84" s="4" t="s">
        <v>1721</v>
      </c>
      <c r="C84" s="50">
        <v>1</v>
      </c>
      <c r="D84" s="50"/>
      <c r="M84" s="118">
        <f t="shared" si="1"/>
        <v>1</v>
      </c>
    </row>
    <row r="85" spans="1:13">
      <c r="A85" s="4" t="str">
        <f>"404510085"</f>
        <v>404510085</v>
      </c>
      <c r="B85" s="4" t="s">
        <v>1722</v>
      </c>
      <c r="C85" s="50">
        <v>1</v>
      </c>
      <c r="D85" s="50"/>
      <c r="I85" s="50">
        <v>1</v>
      </c>
      <c r="K85" s="50">
        <v>1</v>
      </c>
      <c r="M85" s="118">
        <f t="shared" si="1"/>
        <v>3</v>
      </c>
    </row>
    <row r="86" spans="1:13">
      <c r="A86" s="4" t="str">
        <f>"404510087"</f>
        <v>404510087</v>
      </c>
      <c r="B86" s="4" t="s">
        <v>1534</v>
      </c>
      <c r="C86" s="50">
        <v>1</v>
      </c>
      <c r="D86" s="50"/>
      <c r="M86" s="118">
        <f t="shared" si="1"/>
        <v>1</v>
      </c>
    </row>
    <row r="87" spans="1:13">
      <c r="A87" s="4" t="str">
        <f>"404510088"</f>
        <v>404510088</v>
      </c>
      <c r="B87" s="4" t="s">
        <v>1723</v>
      </c>
      <c r="C87" s="50">
        <v>1</v>
      </c>
      <c r="D87" s="50"/>
      <c r="E87" s="50">
        <v>1</v>
      </c>
      <c r="M87" s="118">
        <f t="shared" si="1"/>
        <v>2</v>
      </c>
    </row>
    <row r="88" spans="1:13">
      <c r="A88" s="4" t="str">
        <f>"404510089"</f>
        <v>404510089</v>
      </c>
      <c r="B88" s="4" t="s">
        <v>1724</v>
      </c>
      <c r="C88" s="50">
        <v>1</v>
      </c>
      <c r="D88" s="50"/>
      <c r="G88" s="50">
        <v>1</v>
      </c>
      <c r="I88" s="50">
        <v>1</v>
      </c>
      <c r="M88" s="118">
        <f t="shared" si="1"/>
        <v>3</v>
      </c>
    </row>
    <row r="89" spans="1:13">
      <c r="A89" s="4" t="str">
        <f>"404510090"</f>
        <v>404510090</v>
      </c>
      <c r="B89" s="4" t="s">
        <v>1725</v>
      </c>
      <c r="C89" s="50">
        <v>1</v>
      </c>
      <c r="D89" s="50"/>
      <c r="M89" s="118">
        <f t="shared" si="1"/>
        <v>1</v>
      </c>
    </row>
    <row r="90" spans="1:13">
      <c r="A90" s="4" t="str">
        <f>"404510091"</f>
        <v>404510091</v>
      </c>
      <c r="B90" s="4" t="s">
        <v>1726</v>
      </c>
      <c r="C90" s="50">
        <v>1</v>
      </c>
      <c r="D90" s="50"/>
      <c r="I90" s="50">
        <v>1</v>
      </c>
      <c r="M90" s="118">
        <f t="shared" si="1"/>
        <v>2</v>
      </c>
    </row>
    <row r="91" spans="1:13">
      <c r="A91" s="4" t="str">
        <f>"404510092"</f>
        <v>404510092</v>
      </c>
      <c r="B91" s="4" t="s">
        <v>1727</v>
      </c>
      <c r="C91" s="50">
        <v>1</v>
      </c>
      <c r="D91" s="50"/>
      <c r="F91" s="50">
        <v>1</v>
      </c>
      <c r="I91" s="50">
        <v>1</v>
      </c>
      <c r="M91" s="118">
        <f t="shared" si="1"/>
        <v>3</v>
      </c>
    </row>
    <row r="92" spans="1:13">
      <c r="A92" s="4" t="str">
        <f>"404510093"</f>
        <v>404510093</v>
      </c>
      <c r="B92" s="4" t="s">
        <v>1728</v>
      </c>
      <c r="C92" s="50">
        <v>1</v>
      </c>
      <c r="D92" s="50"/>
      <c r="I92" s="50">
        <v>1</v>
      </c>
      <c r="M92" s="118">
        <f t="shared" si="1"/>
        <v>2</v>
      </c>
    </row>
    <row r="93" spans="1:13">
      <c r="A93" s="4" t="str">
        <f>"404510094"</f>
        <v>404510094</v>
      </c>
      <c r="B93" s="4" t="s">
        <v>1729</v>
      </c>
      <c r="C93" s="50">
        <v>1</v>
      </c>
      <c r="D93" s="50"/>
      <c r="M93" s="118">
        <f t="shared" si="1"/>
        <v>1</v>
      </c>
    </row>
    <row r="94" spans="1:13">
      <c r="A94" s="4" t="str">
        <f>"404510095"</f>
        <v>404510095</v>
      </c>
      <c r="B94" s="4" t="s">
        <v>1730</v>
      </c>
      <c r="C94" s="50">
        <v>1</v>
      </c>
      <c r="D94" s="50"/>
      <c r="I94" s="50">
        <v>1</v>
      </c>
      <c r="M94" s="118">
        <f t="shared" si="1"/>
        <v>2</v>
      </c>
    </row>
    <row r="95" spans="1:13">
      <c r="A95" s="4" t="str">
        <f>"404510096"</f>
        <v>404510096</v>
      </c>
      <c r="B95" s="4" t="s">
        <v>1731</v>
      </c>
      <c r="C95" s="50">
        <v>1</v>
      </c>
      <c r="D95" s="50">
        <v>1</v>
      </c>
      <c r="I95" s="50">
        <v>1</v>
      </c>
      <c r="M95" s="118">
        <f t="shared" si="1"/>
        <v>3</v>
      </c>
    </row>
    <row r="96" spans="1:13">
      <c r="A96" s="4" t="str">
        <f>"404510097"</f>
        <v>404510097</v>
      </c>
      <c r="B96" s="4" t="s">
        <v>1732</v>
      </c>
      <c r="C96" s="50">
        <v>1</v>
      </c>
      <c r="D96" s="50"/>
      <c r="M96" s="118">
        <f t="shared" si="1"/>
        <v>1</v>
      </c>
    </row>
    <row r="97" spans="1:13">
      <c r="A97" s="4" t="str">
        <f>"404510098"</f>
        <v>404510098</v>
      </c>
      <c r="B97" s="4" t="s">
        <v>1733</v>
      </c>
      <c r="C97" s="50">
        <v>1</v>
      </c>
      <c r="D97" s="50"/>
      <c r="M97" s="118">
        <f t="shared" si="1"/>
        <v>1</v>
      </c>
    </row>
    <row r="98" spans="1:13">
      <c r="A98" s="4" t="str">
        <f>"404510099"</f>
        <v>404510099</v>
      </c>
      <c r="B98" s="4" t="s">
        <v>1734</v>
      </c>
      <c r="C98" s="50">
        <v>1</v>
      </c>
      <c r="D98" s="50"/>
      <c r="E98" s="50">
        <v>1</v>
      </c>
      <c r="I98" s="50">
        <v>1</v>
      </c>
      <c r="M98" s="118">
        <f t="shared" si="1"/>
        <v>3</v>
      </c>
    </row>
    <row r="99" spans="1:13">
      <c r="A99" s="4" t="str">
        <f>"404510100"</f>
        <v>404510100</v>
      </c>
      <c r="B99" s="4" t="s">
        <v>1735</v>
      </c>
      <c r="C99" s="50">
        <v>1</v>
      </c>
      <c r="D99" s="50"/>
      <c r="E99" s="50">
        <v>1</v>
      </c>
      <c r="K99" s="50">
        <v>1</v>
      </c>
      <c r="M99" s="118">
        <f t="shared" si="1"/>
        <v>3</v>
      </c>
    </row>
    <row r="100" spans="1:13">
      <c r="A100" s="4" t="str">
        <f>"404510101"</f>
        <v>404510101</v>
      </c>
      <c r="B100" s="4" t="s">
        <v>1736</v>
      </c>
      <c r="C100" s="50">
        <v>1</v>
      </c>
      <c r="D100" s="50"/>
      <c r="I100" s="50">
        <v>1</v>
      </c>
      <c r="M100" s="118">
        <f t="shared" si="1"/>
        <v>2</v>
      </c>
    </row>
    <row r="101" spans="1:13">
      <c r="A101" s="4" t="str">
        <f>"404510102"</f>
        <v>404510102</v>
      </c>
      <c r="B101" s="4" t="s">
        <v>1535</v>
      </c>
      <c r="C101" s="50">
        <v>1</v>
      </c>
      <c r="D101" s="50"/>
      <c r="K101" s="50">
        <v>1</v>
      </c>
      <c r="M101" s="118">
        <f t="shared" si="1"/>
        <v>2</v>
      </c>
    </row>
    <row r="102" spans="1:13">
      <c r="A102" s="4" t="str">
        <f>"404510103"</f>
        <v>404510103</v>
      </c>
      <c r="B102" s="4" t="s">
        <v>1737</v>
      </c>
      <c r="C102" s="50">
        <v>1</v>
      </c>
      <c r="D102" s="50"/>
      <c r="I102" s="50">
        <v>1</v>
      </c>
      <c r="M102" s="118">
        <f t="shared" si="1"/>
        <v>2</v>
      </c>
    </row>
    <row r="103" spans="1:13">
      <c r="A103" s="4" t="str">
        <f>"404510104"</f>
        <v>404510104</v>
      </c>
      <c r="B103" s="4" t="s">
        <v>1738</v>
      </c>
      <c r="C103" s="50">
        <v>1</v>
      </c>
      <c r="D103" s="50"/>
      <c r="E103" s="50">
        <v>1</v>
      </c>
      <c r="I103" s="50">
        <v>1</v>
      </c>
      <c r="M103" s="118">
        <f t="shared" si="1"/>
        <v>3</v>
      </c>
    </row>
    <row r="104" spans="1:13">
      <c r="A104" s="4" t="str">
        <f>"404510105"</f>
        <v>404510105</v>
      </c>
      <c r="B104" s="4" t="s">
        <v>1739</v>
      </c>
      <c r="C104" s="50">
        <v>1</v>
      </c>
      <c r="D104" s="50"/>
      <c r="I104" s="50">
        <v>1</v>
      </c>
      <c r="L104" s="50">
        <v>1</v>
      </c>
      <c r="M104" s="118">
        <f t="shared" si="1"/>
        <v>3</v>
      </c>
    </row>
    <row r="105" spans="1:13">
      <c r="A105" s="4" t="str">
        <f>"404510106"</f>
        <v>404510106</v>
      </c>
      <c r="B105" s="4" t="s">
        <v>1740</v>
      </c>
      <c r="C105" s="50">
        <v>1</v>
      </c>
      <c r="D105" s="50"/>
      <c r="E105" s="50">
        <v>1</v>
      </c>
      <c r="I105" s="50">
        <v>1</v>
      </c>
      <c r="J105" s="50">
        <v>1</v>
      </c>
      <c r="M105" s="118">
        <f t="shared" si="1"/>
        <v>4</v>
      </c>
    </row>
    <row r="106" spans="1:13">
      <c r="A106" s="4" t="str">
        <f>"404510120"</f>
        <v>404510120</v>
      </c>
      <c r="B106" s="4" t="s">
        <v>1741</v>
      </c>
      <c r="I106" s="50">
        <v>1</v>
      </c>
      <c r="L106" s="50">
        <v>1</v>
      </c>
      <c r="M106" s="118">
        <f t="shared" si="1"/>
        <v>2</v>
      </c>
    </row>
    <row r="107" spans="1:13">
      <c r="A107" s="100">
        <v>403220025</v>
      </c>
      <c r="B107" s="99" t="s">
        <v>1764</v>
      </c>
      <c r="M107" s="118">
        <f t="shared" si="1"/>
        <v>0</v>
      </c>
    </row>
    <row r="108" spans="1:13">
      <c r="A108" s="100">
        <v>403250001</v>
      </c>
      <c r="B108" s="99" t="s">
        <v>1765</v>
      </c>
      <c r="M108" s="118">
        <f t="shared" si="1"/>
        <v>0</v>
      </c>
    </row>
    <row r="109" spans="1:13">
      <c r="A109" s="100">
        <v>403310033</v>
      </c>
      <c r="B109" s="99" t="s">
        <v>1752</v>
      </c>
      <c r="M109" s="118">
        <f t="shared" si="1"/>
        <v>0</v>
      </c>
    </row>
    <row r="110" spans="1:13">
      <c r="A110" s="100">
        <v>404330042</v>
      </c>
      <c r="B110" s="110" t="s">
        <v>1766</v>
      </c>
      <c r="K110" s="50">
        <v>1</v>
      </c>
      <c r="M110" s="118">
        <f t="shared" si="1"/>
        <v>1</v>
      </c>
    </row>
    <row r="111" spans="1:13">
      <c r="A111" s="88" t="str">
        <f>"404520031"</f>
        <v>404520031</v>
      </c>
      <c r="B111" s="88" t="s">
        <v>1742</v>
      </c>
      <c r="I111" s="50">
        <v>1</v>
      </c>
      <c r="M111" s="118">
        <f t="shared" si="1"/>
        <v>1</v>
      </c>
    </row>
    <row r="112" spans="1:13">
      <c r="A112" s="100">
        <v>403310033</v>
      </c>
      <c r="B112" s="100" t="s">
        <v>1752</v>
      </c>
      <c r="M112" s="118">
        <f t="shared" si="1"/>
        <v>0</v>
      </c>
    </row>
    <row r="113" spans="1:13">
      <c r="A113" s="100">
        <v>404330042</v>
      </c>
      <c r="B113" s="111" t="s">
        <v>1753</v>
      </c>
      <c r="M113" s="118">
        <f t="shared" si="1"/>
        <v>0</v>
      </c>
    </row>
    <row r="114" spans="1:13">
      <c r="A114" s="100">
        <v>404520031</v>
      </c>
      <c r="B114" s="101" t="s">
        <v>1754</v>
      </c>
      <c r="I114" s="50">
        <v>1</v>
      </c>
      <c r="M114" s="118">
        <f t="shared" si="1"/>
        <v>1</v>
      </c>
    </row>
    <row r="115" spans="1:13">
      <c r="A115" s="100">
        <v>404510112</v>
      </c>
      <c r="B115" s="111" t="s">
        <v>1755</v>
      </c>
      <c r="K115" s="50">
        <v>1</v>
      </c>
      <c r="M115" s="118">
        <f t="shared" si="1"/>
        <v>1</v>
      </c>
    </row>
    <row r="116" spans="1:13">
      <c r="A116" s="100">
        <v>404510113</v>
      </c>
      <c r="B116" s="111" t="s">
        <v>1756</v>
      </c>
      <c r="M116" s="118">
        <f t="shared" si="1"/>
        <v>0</v>
      </c>
    </row>
    <row r="117" spans="1:13">
      <c r="A117" s="98">
        <v>404510116</v>
      </c>
      <c r="B117" s="98" t="s">
        <v>1757</v>
      </c>
      <c r="K117" s="50">
        <v>1</v>
      </c>
      <c r="M117" s="118">
        <f t="shared" si="1"/>
        <v>1</v>
      </c>
    </row>
    <row r="118" spans="1:13">
      <c r="A118" s="98">
        <v>404510117</v>
      </c>
      <c r="B118" s="98" t="s">
        <v>1758</v>
      </c>
      <c r="E118" s="50">
        <v>1</v>
      </c>
      <c r="J118" s="50">
        <v>1</v>
      </c>
      <c r="K118" s="50">
        <v>1</v>
      </c>
      <c r="M118" s="118">
        <f t="shared" si="1"/>
        <v>3</v>
      </c>
    </row>
    <row r="119" spans="1:13">
      <c r="A119" s="98">
        <v>404510118</v>
      </c>
      <c r="B119" s="98" t="s">
        <v>1759</v>
      </c>
      <c r="K119" s="50">
        <v>1</v>
      </c>
      <c r="M119" s="118">
        <f t="shared" si="1"/>
        <v>1</v>
      </c>
    </row>
    <row r="120" spans="1:13">
      <c r="A120" s="98">
        <v>404510120</v>
      </c>
      <c r="B120" s="105" t="s">
        <v>1760</v>
      </c>
      <c r="L120" s="50">
        <v>1</v>
      </c>
      <c r="M120" s="118">
        <f t="shared" si="1"/>
        <v>1</v>
      </c>
    </row>
    <row r="121" spans="1:13">
      <c r="A121" s="98">
        <v>404510121</v>
      </c>
      <c r="B121" s="112" t="s">
        <v>1761</v>
      </c>
      <c r="K121" s="50">
        <v>1</v>
      </c>
      <c r="M121" s="118">
        <f t="shared" si="1"/>
        <v>1</v>
      </c>
    </row>
    <row r="122" spans="1:13">
      <c r="A122" s="100">
        <v>404510122</v>
      </c>
      <c r="B122" s="101" t="s">
        <v>1762</v>
      </c>
      <c r="I122" s="50">
        <v>1</v>
      </c>
      <c r="M122" s="118">
        <f t="shared" si="1"/>
        <v>1</v>
      </c>
    </row>
    <row r="123" spans="1:13">
      <c r="A123" s="100">
        <v>404510123</v>
      </c>
      <c r="B123" s="100" t="s">
        <v>1763</v>
      </c>
      <c r="E123" s="50">
        <v>1</v>
      </c>
      <c r="K123" s="50">
        <v>1</v>
      </c>
      <c r="M123" s="118">
        <f t="shared" si="1"/>
        <v>2</v>
      </c>
    </row>
    <row r="128" spans="1:13">
      <c r="C128" s="50"/>
      <c r="D128" s="50"/>
      <c r="G128" s="50" t="s">
        <v>1743</v>
      </c>
      <c r="H128" s="50">
        <f>MEDIAN(M3:M123)</f>
        <v>2</v>
      </c>
    </row>
    <row r="129" spans="1:2">
      <c r="A129" s="94" t="s">
        <v>1744</v>
      </c>
      <c r="B129" s="95"/>
    </row>
    <row r="130" spans="1:2">
      <c r="A130" s="96" t="s">
        <v>1745</v>
      </c>
      <c r="B130" s="97"/>
    </row>
    <row r="131" spans="1:2">
      <c r="A131" s="4" t="s">
        <v>1746</v>
      </c>
    </row>
    <row r="132" spans="1:2">
      <c r="A132" s="4" t="s">
        <v>1747</v>
      </c>
    </row>
    <row r="133" spans="1:2">
      <c r="A133" s="4" t="s">
        <v>1748</v>
      </c>
    </row>
    <row r="134" spans="1:2">
      <c r="A134" s="4" t="s">
        <v>1749</v>
      </c>
    </row>
    <row r="135" spans="1:2">
      <c r="A135" s="4" t="s">
        <v>1750</v>
      </c>
    </row>
    <row r="136" spans="1:2">
      <c r="A136" s="4" t="s">
        <v>1751</v>
      </c>
    </row>
    <row r="137" spans="1:2">
      <c r="A137" s="4" t="s">
        <v>1901</v>
      </c>
    </row>
    <row r="138" spans="1:2">
      <c r="A138" s="4" t="s">
        <v>1907</v>
      </c>
    </row>
    <row r="139" spans="1:2">
      <c r="A139" s="4" t="s">
        <v>1906</v>
      </c>
    </row>
  </sheetData>
  <sortState ref="A3:I104">
    <sortCondition ref="A2"/>
  </sortState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opLeftCell="A127" zoomScaleNormal="100" workbookViewId="0">
      <selection activeCell="B119" sqref="B119"/>
    </sheetView>
  </sheetViews>
  <sheetFormatPr defaultRowHeight="16.2"/>
  <cols>
    <col min="1" max="1" width="11" style="96" customWidth="1"/>
    <col min="2" max="2" width="9" style="96"/>
    <col min="3" max="15" width="9" style="2"/>
    <col min="16" max="16" width="8.88671875" style="2"/>
    <col min="17" max="17" width="9" style="85"/>
  </cols>
  <sheetData>
    <row r="1" spans="1:21">
      <c r="A1" s="96" t="s">
        <v>1892</v>
      </c>
      <c r="C1" s="67">
        <f>MAX(Q3:Q123)</f>
        <v>5</v>
      </c>
      <c r="G1" s="45"/>
    </row>
    <row r="2" spans="1:21">
      <c r="A2" s="13" t="s">
        <v>1528</v>
      </c>
      <c r="B2" s="13" t="s">
        <v>1529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108" t="s">
        <v>1643</v>
      </c>
      <c r="R2" s="7"/>
      <c r="S2" s="7"/>
      <c r="T2" s="7"/>
      <c r="U2" s="7"/>
    </row>
    <row r="3" spans="1:21">
      <c r="A3" s="96" t="str">
        <f>"403510001"</f>
        <v>403510001</v>
      </c>
      <c r="B3" s="96" t="s">
        <v>1767</v>
      </c>
      <c r="C3" s="45">
        <v>1</v>
      </c>
      <c r="K3" s="2">
        <v>1</v>
      </c>
      <c r="L3" s="2">
        <v>1</v>
      </c>
      <c r="Q3" s="85">
        <f>SUM(C3:P3)</f>
        <v>3</v>
      </c>
    </row>
    <row r="4" spans="1:21">
      <c r="A4" s="96" t="str">
        <f>"403510002"</f>
        <v>403510002</v>
      </c>
      <c r="B4" s="96" t="s">
        <v>1768</v>
      </c>
      <c r="C4" s="45">
        <v>1</v>
      </c>
      <c r="Q4" s="85">
        <f>SUM(C4:P4)</f>
        <v>1</v>
      </c>
    </row>
    <row r="5" spans="1:21">
      <c r="A5" s="96" t="str">
        <f>"403510003"</f>
        <v>403510003</v>
      </c>
      <c r="B5" s="96" t="s">
        <v>1769</v>
      </c>
      <c r="C5" s="45">
        <v>1</v>
      </c>
      <c r="Q5" s="85">
        <f t="shared" ref="Q5:Q68" si="0">SUM(C5:P5)</f>
        <v>1</v>
      </c>
    </row>
    <row r="6" spans="1:21">
      <c r="A6" s="96" t="str">
        <f>"403510004"</f>
        <v>403510004</v>
      </c>
      <c r="B6" s="96" t="s">
        <v>1770</v>
      </c>
      <c r="C6" s="45">
        <v>1</v>
      </c>
      <c r="Q6" s="85">
        <f t="shared" si="0"/>
        <v>1</v>
      </c>
    </row>
    <row r="7" spans="1:21">
      <c r="A7" s="96" t="str">
        <f>"403510005"</f>
        <v>403510005</v>
      </c>
      <c r="B7" s="96" t="s">
        <v>1771</v>
      </c>
      <c r="C7" s="45">
        <v>1</v>
      </c>
      <c r="Q7" s="85">
        <f t="shared" si="0"/>
        <v>1</v>
      </c>
    </row>
    <row r="8" spans="1:21">
      <c r="A8" s="96" t="str">
        <f>"403510006"</f>
        <v>403510006</v>
      </c>
      <c r="B8" s="96" t="s">
        <v>1772</v>
      </c>
      <c r="C8" s="45">
        <v>1</v>
      </c>
      <c r="Q8" s="85">
        <f t="shared" si="0"/>
        <v>1</v>
      </c>
    </row>
    <row r="9" spans="1:21">
      <c r="A9" s="96" t="str">
        <f>"403510007"</f>
        <v>403510007</v>
      </c>
      <c r="B9" s="96" t="s">
        <v>1773</v>
      </c>
      <c r="C9" s="45">
        <v>1</v>
      </c>
      <c r="D9" s="2">
        <v>1</v>
      </c>
      <c r="Q9" s="85">
        <f t="shared" si="0"/>
        <v>2</v>
      </c>
    </row>
    <row r="10" spans="1:21">
      <c r="A10" s="96" t="str">
        <f>"403510008"</f>
        <v>403510008</v>
      </c>
      <c r="B10" s="96" t="s">
        <v>1774</v>
      </c>
      <c r="C10" s="45">
        <v>1</v>
      </c>
      <c r="D10" s="2">
        <v>1</v>
      </c>
      <c r="Q10" s="85">
        <f t="shared" si="0"/>
        <v>2</v>
      </c>
    </row>
    <row r="11" spans="1:21">
      <c r="A11" s="96" t="str">
        <f>"403510009"</f>
        <v>403510009</v>
      </c>
      <c r="B11" s="96" t="s">
        <v>1775</v>
      </c>
      <c r="C11" s="45">
        <v>1</v>
      </c>
      <c r="D11" s="2">
        <v>1</v>
      </c>
      <c r="K11" s="2">
        <v>1</v>
      </c>
      <c r="Q11" s="85">
        <f t="shared" si="0"/>
        <v>3</v>
      </c>
    </row>
    <row r="12" spans="1:21">
      <c r="A12" s="96" t="str">
        <f>"403510010"</f>
        <v>403510010</v>
      </c>
      <c r="B12" s="96" t="s">
        <v>1776</v>
      </c>
      <c r="C12" s="45">
        <v>1</v>
      </c>
      <c r="Q12" s="85">
        <f t="shared" si="0"/>
        <v>1</v>
      </c>
    </row>
    <row r="13" spans="1:21">
      <c r="A13" s="96" t="str">
        <f>"403510011"</f>
        <v>403510011</v>
      </c>
      <c r="B13" s="96" t="s">
        <v>1777</v>
      </c>
      <c r="C13" s="45">
        <v>1</v>
      </c>
      <c r="Q13" s="85">
        <f t="shared" si="0"/>
        <v>1</v>
      </c>
    </row>
    <row r="14" spans="1:21">
      <c r="A14" s="96" t="str">
        <f>"403510012"</f>
        <v>403510012</v>
      </c>
      <c r="B14" s="96" t="s">
        <v>1778</v>
      </c>
      <c r="C14" s="45">
        <v>1</v>
      </c>
      <c r="K14" s="2">
        <v>1</v>
      </c>
      <c r="Q14" s="85">
        <f t="shared" si="0"/>
        <v>2</v>
      </c>
    </row>
    <row r="15" spans="1:21">
      <c r="A15" s="96" t="str">
        <f>"403510013"</f>
        <v>403510013</v>
      </c>
      <c r="B15" s="96" t="s">
        <v>1779</v>
      </c>
      <c r="C15" s="45">
        <v>1</v>
      </c>
      <c r="D15" s="2">
        <v>1</v>
      </c>
      <c r="Q15" s="85">
        <f t="shared" si="0"/>
        <v>2</v>
      </c>
    </row>
    <row r="16" spans="1:21">
      <c r="A16" s="96" t="str">
        <f>"403510014"</f>
        <v>403510014</v>
      </c>
      <c r="B16" s="96" t="s">
        <v>1780</v>
      </c>
      <c r="C16" s="45">
        <v>1</v>
      </c>
      <c r="D16" s="2">
        <v>1</v>
      </c>
      <c r="H16" s="2">
        <v>1</v>
      </c>
      <c r="Q16" s="85">
        <f t="shared" si="0"/>
        <v>3</v>
      </c>
    </row>
    <row r="17" spans="1:17">
      <c r="A17" s="96" t="str">
        <f>"403510015"</f>
        <v>403510015</v>
      </c>
      <c r="B17" s="96" t="s">
        <v>1781</v>
      </c>
      <c r="C17" s="45">
        <v>1</v>
      </c>
      <c r="F17" s="2">
        <v>1</v>
      </c>
      <c r="Q17" s="85">
        <f t="shared" si="0"/>
        <v>2</v>
      </c>
    </row>
    <row r="18" spans="1:17">
      <c r="A18" s="96" t="str">
        <f>"403510016"</f>
        <v>403510016</v>
      </c>
      <c r="B18" s="96" t="s">
        <v>1782</v>
      </c>
      <c r="C18" s="45">
        <v>1</v>
      </c>
      <c r="I18" s="2">
        <v>1</v>
      </c>
      <c r="L18" s="2">
        <v>1</v>
      </c>
      <c r="Q18" s="85">
        <f t="shared" si="0"/>
        <v>3</v>
      </c>
    </row>
    <row r="19" spans="1:17">
      <c r="A19" s="96" t="str">
        <f>"403510017"</f>
        <v>403510017</v>
      </c>
      <c r="B19" s="96" t="s">
        <v>1783</v>
      </c>
      <c r="C19" s="45">
        <v>1</v>
      </c>
      <c r="D19" s="2">
        <v>1</v>
      </c>
      <c r="Q19" s="85">
        <f t="shared" si="0"/>
        <v>2</v>
      </c>
    </row>
    <row r="20" spans="1:17">
      <c r="A20" s="96" t="str">
        <f>"403510018"</f>
        <v>403510018</v>
      </c>
      <c r="B20" s="96" t="s">
        <v>1784</v>
      </c>
      <c r="C20" s="45">
        <v>1</v>
      </c>
      <c r="Q20" s="85">
        <f t="shared" si="0"/>
        <v>1</v>
      </c>
    </row>
    <row r="21" spans="1:17">
      <c r="A21" s="96" t="str">
        <f>"403510019"</f>
        <v>403510019</v>
      </c>
      <c r="B21" s="96" t="s">
        <v>1785</v>
      </c>
      <c r="C21" s="45">
        <v>1</v>
      </c>
      <c r="D21" s="2">
        <v>1</v>
      </c>
      <c r="N21" s="2">
        <v>1</v>
      </c>
      <c r="Q21" s="85">
        <f t="shared" si="0"/>
        <v>3</v>
      </c>
    </row>
    <row r="22" spans="1:17">
      <c r="A22" s="96" t="str">
        <f>"403510020"</f>
        <v>403510020</v>
      </c>
      <c r="B22" s="96" t="s">
        <v>1786</v>
      </c>
      <c r="C22" s="45">
        <v>1</v>
      </c>
      <c r="D22" s="2">
        <v>1</v>
      </c>
      <c r="Q22" s="85">
        <f t="shared" si="0"/>
        <v>2</v>
      </c>
    </row>
    <row r="23" spans="1:17">
      <c r="A23" s="96" t="str">
        <f>"403510021"</f>
        <v>403510021</v>
      </c>
      <c r="B23" s="96" t="s">
        <v>1787</v>
      </c>
      <c r="C23" s="45">
        <v>1</v>
      </c>
      <c r="D23" s="2">
        <v>1</v>
      </c>
      <c r="Q23" s="85">
        <f t="shared" si="0"/>
        <v>2</v>
      </c>
    </row>
    <row r="24" spans="1:17">
      <c r="A24" s="96" t="str">
        <f>"403510022"</f>
        <v>403510022</v>
      </c>
      <c r="B24" s="96" t="s">
        <v>1788</v>
      </c>
      <c r="C24" s="45">
        <v>1</v>
      </c>
      <c r="Q24" s="85">
        <f t="shared" si="0"/>
        <v>1</v>
      </c>
    </row>
    <row r="25" spans="1:17">
      <c r="A25" s="96" t="str">
        <f>"403510023"</f>
        <v>403510023</v>
      </c>
      <c r="B25" s="96" t="s">
        <v>1789</v>
      </c>
      <c r="C25" s="45">
        <v>1</v>
      </c>
      <c r="D25" s="2">
        <v>1</v>
      </c>
      <c r="Q25" s="85">
        <f t="shared" si="0"/>
        <v>2</v>
      </c>
    </row>
    <row r="26" spans="1:17">
      <c r="A26" s="96" t="str">
        <f>"403510024"</f>
        <v>403510024</v>
      </c>
      <c r="B26" s="96" t="s">
        <v>1790</v>
      </c>
      <c r="C26" s="45">
        <v>1</v>
      </c>
      <c r="I26" s="2">
        <v>1</v>
      </c>
      <c r="J26" s="2">
        <v>1</v>
      </c>
      <c r="L26" s="2">
        <v>1</v>
      </c>
      <c r="Q26" s="85">
        <f t="shared" si="0"/>
        <v>4</v>
      </c>
    </row>
    <row r="27" spans="1:17">
      <c r="A27" s="96" t="str">
        <f>"403510025"</f>
        <v>403510025</v>
      </c>
      <c r="B27" s="96" t="s">
        <v>1791</v>
      </c>
      <c r="C27" s="45">
        <v>1</v>
      </c>
      <c r="Q27" s="85">
        <f t="shared" si="0"/>
        <v>1</v>
      </c>
    </row>
    <row r="28" spans="1:17">
      <c r="A28" s="96" t="str">
        <f>"403510026"</f>
        <v>403510026</v>
      </c>
      <c r="B28" s="96" t="s">
        <v>1792</v>
      </c>
      <c r="C28" s="45">
        <v>1</v>
      </c>
      <c r="K28" s="2">
        <v>1</v>
      </c>
      <c r="Q28" s="85">
        <f t="shared" si="0"/>
        <v>2</v>
      </c>
    </row>
    <row r="29" spans="1:17">
      <c r="A29" s="96" t="str">
        <f>"403510027"</f>
        <v>403510027</v>
      </c>
      <c r="B29" s="96" t="s">
        <v>1793</v>
      </c>
      <c r="C29" s="45">
        <v>1</v>
      </c>
      <c r="I29" s="2">
        <v>1</v>
      </c>
      <c r="Q29" s="85">
        <f t="shared" si="0"/>
        <v>2</v>
      </c>
    </row>
    <row r="30" spans="1:17">
      <c r="A30" s="96" t="str">
        <f>"403510028"</f>
        <v>403510028</v>
      </c>
      <c r="B30" s="96" t="s">
        <v>1794</v>
      </c>
      <c r="C30" s="45">
        <v>1</v>
      </c>
      <c r="K30" s="2">
        <v>1</v>
      </c>
      <c r="L30" s="2">
        <v>1</v>
      </c>
      <c r="Q30" s="85">
        <f t="shared" si="0"/>
        <v>3</v>
      </c>
    </row>
    <row r="31" spans="1:17">
      <c r="A31" s="96" t="str">
        <f>"403510029"</f>
        <v>403510029</v>
      </c>
      <c r="B31" s="96" t="s">
        <v>1795</v>
      </c>
      <c r="C31" s="45">
        <v>1</v>
      </c>
      <c r="I31" s="2">
        <v>1</v>
      </c>
      <c r="Q31" s="85">
        <f t="shared" si="0"/>
        <v>2</v>
      </c>
    </row>
    <row r="32" spans="1:17">
      <c r="A32" s="96" t="str">
        <f>"403510030"</f>
        <v>403510030</v>
      </c>
      <c r="B32" s="96" t="s">
        <v>1796</v>
      </c>
      <c r="C32" s="45">
        <v>1</v>
      </c>
      <c r="D32" s="2">
        <v>1</v>
      </c>
      <c r="I32" s="2">
        <v>1</v>
      </c>
      <c r="L32" s="2">
        <v>1</v>
      </c>
      <c r="Q32" s="85">
        <f t="shared" si="0"/>
        <v>4</v>
      </c>
    </row>
    <row r="33" spans="1:17">
      <c r="A33" s="96" t="str">
        <f>"403510031"</f>
        <v>403510031</v>
      </c>
      <c r="B33" s="96" t="s">
        <v>1797</v>
      </c>
      <c r="C33" s="45">
        <v>1</v>
      </c>
      <c r="D33" s="2">
        <v>1</v>
      </c>
      <c r="K33" s="2">
        <v>1</v>
      </c>
      <c r="Q33" s="85">
        <f t="shared" si="0"/>
        <v>3</v>
      </c>
    </row>
    <row r="34" spans="1:17">
      <c r="A34" s="96" t="str">
        <f>"403510032"</f>
        <v>403510032</v>
      </c>
      <c r="B34" s="96" t="s">
        <v>1798</v>
      </c>
      <c r="C34" s="45">
        <v>1</v>
      </c>
      <c r="D34" s="2">
        <v>1</v>
      </c>
      <c r="K34" s="2">
        <v>1</v>
      </c>
      <c r="Q34" s="85">
        <f t="shared" si="0"/>
        <v>3</v>
      </c>
    </row>
    <row r="35" spans="1:17">
      <c r="A35" s="96" t="str">
        <f>"403510033"</f>
        <v>403510033</v>
      </c>
      <c r="B35" s="96" t="s">
        <v>1646</v>
      </c>
      <c r="C35" s="45">
        <v>1</v>
      </c>
      <c r="Q35" s="85">
        <f t="shared" si="0"/>
        <v>1</v>
      </c>
    </row>
    <row r="36" spans="1:17">
      <c r="A36" s="96" t="str">
        <f>"403510034"</f>
        <v>403510034</v>
      </c>
      <c r="B36" s="96" t="s">
        <v>1799</v>
      </c>
      <c r="C36" s="45">
        <v>1</v>
      </c>
      <c r="D36" s="2">
        <v>1</v>
      </c>
      <c r="Q36" s="85">
        <f t="shared" si="0"/>
        <v>2</v>
      </c>
    </row>
    <row r="37" spans="1:17">
      <c r="A37" s="96" t="str">
        <f>"403510035"</f>
        <v>403510035</v>
      </c>
      <c r="B37" s="96" t="s">
        <v>1800</v>
      </c>
      <c r="C37" s="45">
        <v>1</v>
      </c>
      <c r="Q37" s="85">
        <f t="shared" si="0"/>
        <v>1</v>
      </c>
    </row>
    <row r="38" spans="1:17">
      <c r="A38" s="96" t="str">
        <f>"403510038"</f>
        <v>403510038</v>
      </c>
      <c r="B38" s="96" t="s">
        <v>1801</v>
      </c>
      <c r="C38" s="45">
        <v>1</v>
      </c>
      <c r="Q38" s="85">
        <f t="shared" si="0"/>
        <v>1</v>
      </c>
    </row>
    <row r="39" spans="1:17">
      <c r="A39" s="96" t="str">
        <f>"403510039"</f>
        <v>403510039</v>
      </c>
      <c r="B39" s="96" t="s">
        <v>1802</v>
      </c>
      <c r="C39" s="45">
        <v>1</v>
      </c>
      <c r="D39" s="2">
        <v>1</v>
      </c>
      <c r="Q39" s="85">
        <f t="shared" si="0"/>
        <v>2</v>
      </c>
    </row>
    <row r="40" spans="1:17">
      <c r="A40" s="96" t="str">
        <f>"403510041"</f>
        <v>403510041</v>
      </c>
      <c r="B40" s="96" t="s">
        <v>1803</v>
      </c>
      <c r="C40" s="45">
        <v>1</v>
      </c>
      <c r="K40" s="2">
        <v>1</v>
      </c>
      <c r="Q40" s="85">
        <f t="shared" si="0"/>
        <v>2</v>
      </c>
    </row>
    <row r="41" spans="1:17">
      <c r="A41" s="96" t="str">
        <f>"403510042"</f>
        <v>403510042</v>
      </c>
      <c r="B41" s="96" t="s">
        <v>1804</v>
      </c>
      <c r="C41" s="45">
        <v>1</v>
      </c>
      <c r="Q41" s="85">
        <f t="shared" si="0"/>
        <v>1</v>
      </c>
    </row>
    <row r="42" spans="1:17">
      <c r="A42" s="96" t="str">
        <f>"403510043"</f>
        <v>403510043</v>
      </c>
      <c r="B42" s="96" t="s">
        <v>1805</v>
      </c>
      <c r="C42" s="45">
        <v>1</v>
      </c>
      <c r="D42" s="2">
        <v>1</v>
      </c>
      <c r="Q42" s="85">
        <f t="shared" si="0"/>
        <v>2</v>
      </c>
    </row>
    <row r="43" spans="1:17">
      <c r="A43" s="96" t="str">
        <f>"403510044"</f>
        <v>403510044</v>
      </c>
      <c r="B43" s="96" t="s">
        <v>1806</v>
      </c>
      <c r="C43" s="45">
        <v>1</v>
      </c>
      <c r="D43" s="2">
        <v>1</v>
      </c>
      <c r="Q43" s="85">
        <f t="shared" si="0"/>
        <v>2</v>
      </c>
    </row>
    <row r="44" spans="1:17">
      <c r="A44" s="96" t="str">
        <f>"403510045"</f>
        <v>403510045</v>
      </c>
      <c r="B44" s="96" t="s">
        <v>1807</v>
      </c>
      <c r="C44" s="45">
        <v>1</v>
      </c>
      <c r="D44" s="2">
        <v>1</v>
      </c>
      <c r="Q44" s="85">
        <f t="shared" si="0"/>
        <v>2</v>
      </c>
    </row>
    <row r="45" spans="1:17">
      <c r="A45" s="96" t="str">
        <f>"403510046"</f>
        <v>403510046</v>
      </c>
      <c r="B45" s="96" t="s">
        <v>1647</v>
      </c>
      <c r="C45" s="45">
        <v>1</v>
      </c>
      <c r="N45" s="2">
        <v>1</v>
      </c>
      <c r="Q45" s="85">
        <f t="shared" si="0"/>
        <v>2</v>
      </c>
    </row>
    <row r="46" spans="1:17">
      <c r="A46" s="96" t="str">
        <f>"403510047"</f>
        <v>403510047</v>
      </c>
      <c r="B46" s="96" t="s">
        <v>1808</v>
      </c>
      <c r="C46" s="45">
        <v>1</v>
      </c>
      <c r="Q46" s="85">
        <f t="shared" si="0"/>
        <v>1</v>
      </c>
    </row>
    <row r="47" spans="1:17">
      <c r="A47" s="96" t="str">
        <f>"403510048"</f>
        <v>403510048</v>
      </c>
      <c r="B47" s="96" t="s">
        <v>1809</v>
      </c>
      <c r="C47" s="45">
        <v>1</v>
      </c>
      <c r="Q47" s="85">
        <f t="shared" si="0"/>
        <v>1</v>
      </c>
    </row>
    <row r="48" spans="1:17">
      <c r="A48" s="96" t="str">
        <f>"403510049"</f>
        <v>403510049</v>
      </c>
      <c r="B48" s="96" t="s">
        <v>1810</v>
      </c>
      <c r="C48" s="45">
        <v>1</v>
      </c>
      <c r="Q48" s="85">
        <f t="shared" si="0"/>
        <v>1</v>
      </c>
    </row>
    <row r="49" spans="1:17">
      <c r="A49" s="96" t="str">
        <f>"403510050"</f>
        <v>403510050</v>
      </c>
      <c r="B49" s="96" t="s">
        <v>1648</v>
      </c>
      <c r="C49" s="45">
        <v>1</v>
      </c>
      <c r="Q49" s="85">
        <f t="shared" si="0"/>
        <v>1</v>
      </c>
    </row>
    <row r="50" spans="1:17">
      <c r="A50" s="96" t="str">
        <f>"403510051"</f>
        <v>403510051</v>
      </c>
      <c r="B50" s="96" t="s">
        <v>1811</v>
      </c>
      <c r="C50" s="45">
        <v>1</v>
      </c>
      <c r="Q50" s="85">
        <f t="shared" si="0"/>
        <v>1</v>
      </c>
    </row>
    <row r="51" spans="1:17">
      <c r="A51" s="96" t="str">
        <f>"403510052"</f>
        <v>403510052</v>
      </c>
      <c r="B51" s="96" t="s">
        <v>1812</v>
      </c>
      <c r="C51" s="45">
        <v>1</v>
      </c>
      <c r="Q51" s="85">
        <f t="shared" si="0"/>
        <v>1</v>
      </c>
    </row>
    <row r="52" spans="1:17">
      <c r="A52" s="96" t="str">
        <f>"403510053"</f>
        <v>403510053</v>
      </c>
      <c r="B52" s="96" t="s">
        <v>1813</v>
      </c>
      <c r="C52" s="45">
        <v>1</v>
      </c>
      <c r="Q52" s="85">
        <f t="shared" si="0"/>
        <v>1</v>
      </c>
    </row>
    <row r="53" spans="1:17">
      <c r="A53" s="96" t="str">
        <f>"403510054"</f>
        <v>403510054</v>
      </c>
      <c r="B53" s="96" t="s">
        <v>1814</v>
      </c>
      <c r="C53" s="45">
        <v>1</v>
      </c>
      <c r="D53" s="2">
        <v>1</v>
      </c>
      <c r="J53" s="2">
        <v>1</v>
      </c>
      <c r="Q53" s="85">
        <f t="shared" si="0"/>
        <v>3</v>
      </c>
    </row>
    <row r="54" spans="1:17">
      <c r="A54" s="96" t="str">
        <f>"403510055"</f>
        <v>403510055</v>
      </c>
      <c r="B54" s="96" t="s">
        <v>1815</v>
      </c>
      <c r="C54" s="45">
        <v>1</v>
      </c>
      <c r="N54" s="2">
        <v>1</v>
      </c>
      <c r="Q54" s="85">
        <f t="shared" si="0"/>
        <v>2</v>
      </c>
    </row>
    <row r="55" spans="1:17">
      <c r="A55" s="96" t="str">
        <f>"403510056"</f>
        <v>403510056</v>
      </c>
      <c r="B55" s="96" t="s">
        <v>1816</v>
      </c>
      <c r="C55" s="45">
        <v>1</v>
      </c>
      <c r="D55" s="2">
        <v>1</v>
      </c>
      <c r="Q55" s="85">
        <f t="shared" si="0"/>
        <v>2</v>
      </c>
    </row>
    <row r="56" spans="1:17">
      <c r="A56" s="96" t="str">
        <f>"403510057"</f>
        <v>403510057</v>
      </c>
      <c r="B56" s="96" t="s">
        <v>1817</v>
      </c>
      <c r="C56" s="45">
        <v>1</v>
      </c>
      <c r="Q56" s="85">
        <f t="shared" si="0"/>
        <v>1</v>
      </c>
    </row>
    <row r="57" spans="1:17">
      <c r="A57" s="96" t="str">
        <f>"403510059"</f>
        <v>403510059</v>
      </c>
      <c r="B57" s="96" t="s">
        <v>1818</v>
      </c>
      <c r="C57" s="45">
        <v>1</v>
      </c>
      <c r="Q57" s="85">
        <f t="shared" si="0"/>
        <v>1</v>
      </c>
    </row>
    <row r="58" spans="1:17">
      <c r="A58" s="96" t="str">
        <f>"403510060"</f>
        <v>403510060</v>
      </c>
      <c r="B58" s="96" t="s">
        <v>1819</v>
      </c>
      <c r="C58" s="45">
        <v>1</v>
      </c>
      <c r="M58" s="2">
        <v>1</v>
      </c>
      <c r="Q58" s="85">
        <f t="shared" si="0"/>
        <v>2</v>
      </c>
    </row>
    <row r="59" spans="1:17">
      <c r="A59" s="96" t="str">
        <f>"403510061"</f>
        <v>403510061</v>
      </c>
      <c r="B59" s="96" t="s">
        <v>1820</v>
      </c>
      <c r="C59" s="45">
        <v>1</v>
      </c>
      <c r="J59" s="2">
        <v>2</v>
      </c>
      <c r="Q59" s="85">
        <f t="shared" si="0"/>
        <v>3</v>
      </c>
    </row>
    <row r="60" spans="1:17">
      <c r="A60" s="96" t="str">
        <f>"403510062"</f>
        <v>403510062</v>
      </c>
      <c r="B60" s="96" t="s">
        <v>1821</v>
      </c>
      <c r="C60" s="45">
        <v>1</v>
      </c>
      <c r="D60" s="2">
        <v>1</v>
      </c>
      <c r="K60" s="2">
        <v>1</v>
      </c>
      <c r="Q60" s="85">
        <f t="shared" si="0"/>
        <v>3</v>
      </c>
    </row>
    <row r="61" spans="1:17">
      <c r="A61" s="96" t="str">
        <f>"403510064"</f>
        <v>403510064</v>
      </c>
      <c r="B61" s="96" t="s">
        <v>1822</v>
      </c>
      <c r="C61" s="45">
        <v>1</v>
      </c>
      <c r="D61" s="2">
        <v>1</v>
      </c>
      <c r="Q61" s="85">
        <f t="shared" si="0"/>
        <v>2</v>
      </c>
    </row>
    <row r="62" spans="1:17">
      <c r="A62" s="96" t="str">
        <f>"403510065"</f>
        <v>403510065</v>
      </c>
      <c r="B62" s="96" t="s">
        <v>1823</v>
      </c>
      <c r="C62" s="45">
        <v>1</v>
      </c>
      <c r="Q62" s="85">
        <f t="shared" si="0"/>
        <v>1</v>
      </c>
    </row>
    <row r="63" spans="1:17">
      <c r="A63" s="96" t="str">
        <f>"403510066"</f>
        <v>403510066</v>
      </c>
      <c r="B63" s="96" t="s">
        <v>1824</v>
      </c>
      <c r="C63" s="45">
        <v>1</v>
      </c>
      <c r="K63" s="2">
        <v>1</v>
      </c>
      <c r="L63" s="2">
        <v>1</v>
      </c>
      <c r="Q63" s="85">
        <f t="shared" si="0"/>
        <v>3</v>
      </c>
    </row>
    <row r="64" spans="1:17">
      <c r="A64" s="96" t="str">
        <f>"403510067"</f>
        <v>403510067</v>
      </c>
      <c r="B64" s="96" t="s">
        <v>1825</v>
      </c>
      <c r="C64" s="45">
        <v>1</v>
      </c>
      <c r="Q64" s="85">
        <f t="shared" si="0"/>
        <v>1</v>
      </c>
    </row>
    <row r="65" spans="1:17">
      <c r="A65" s="96" t="str">
        <f>"403510068"</f>
        <v>403510068</v>
      </c>
      <c r="B65" s="96" t="s">
        <v>1826</v>
      </c>
      <c r="C65" s="45">
        <v>1</v>
      </c>
      <c r="Q65" s="85">
        <f t="shared" si="0"/>
        <v>1</v>
      </c>
    </row>
    <row r="66" spans="1:17">
      <c r="A66" s="96" t="str">
        <f>"403510069"</f>
        <v>403510069</v>
      </c>
      <c r="B66" s="96" t="s">
        <v>1827</v>
      </c>
      <c r="C66" s="45">
        <v>1</v>
      </c>
      <c r="Q66" s="85">
        <f t="shared" si="0"/>
        <v>1</v>
      </c>
    </row>
    <row r="67" spans="1:17">
      <c r="A67" s="96" t="str">
        <f>"403510070"</f>
        <v>403510070</v>
      </c>
      <c r="B67" s="96" t="s">
        <v>1828</v>
      </c>
      <c r="C67" s="45">
        <v>1</v>
      </c>
      <c r="Q67" s="85">
        <f t="shared" si="0"/>
        <v>1</v>
      </c>
    </row>
    <row r="68" spans="1:17">
      <c r="A68" s="96" t="str">
        <f>"403510071"</f>
        <v>403510071</v>
      </c>
      <c r="B68" s="96" t="s">
        <v>1829</v>
      </c>
      <c r="C68" s="45">
        <v>1</v>
      </c>
      <c r="D68" s="2">
        <v>1</v>
      </c>
      <c r="Q68" s="85">
        <f t="shared" si="0"/>
        <v>2</v>
      </c>
    </row>
    <row r="69" spans="1:17">
      <c r="A69" s="96" t="str">
        <f>"403510072"</f>
        <v>403510072</v>
      </c>
      <c r="B69" s="96" t="s">
        <v>1830</v>
      </c>
      <c r="C69" s="45">
        <v>1</v>
      </c>
      <c r="L69" s="2">
        <v>1</v>
      </c>
      <c r="Q69" s="85">
        <f t="shared" ref="Q69:Q123" si="1">SUM(C69:P69)</f>
        <v>2</v>
      </c>
    </row>
    <row r="70" spans="1:17">
      <c r="A70" s="96" t="str">
        <f>"403510074"</f>
        <v>403510074</v>
      </c>
      <c r="B70" s="96" t="s">
        <v>1831</v>
      </c>
      <c r="C70" s="45">
        <v>1</v>
      </c>
      <c r="Q70" s="85">
        <f t="shared" si="1"/>
        <v>1</v>
      </c>
    </row>
    <row r="71" spans="1:17">
      <c r="A71" s="96" t="str">
        <f>"403510075"</f>
        <v>403510075</v>
      </c>
      <c r="B71" s="96" t="s">
        <v>1832</v>
      </c>
      <c r="C71" s="45">
        <v>1</v>
      </c>
      <c r="D71" s="2">
        <v>1</v>
      </c>
      <c r="Q71" s="85">
        <f t="shared" si="1"/>
        <v>2</v>
      </c>
    </row>
    <row r="72" spans="1:17">
      <c r="A72" s="96" t="str">
        <f>"403510076"</f>
        <v>403510076</v>
      </c>
      <c r="B72" s="96" t="s">
        <v>1530</v>
      </c>
      <c r="C72" s="45">
        <v>1</v>
      </c>
      <c r="Q72" s="85">
        <f t="shared" si="1"/>
        <v>1</v>
      </c>
    </row>
    <row r="73" spans="1:17">
      <c r="A73" s="96" t="str">
        <f>"403510077"</f>
        <v>403510077</v>
      </c>
      <c r="B73" s="96" t="s">
        <v>1833</v>
      </c>
      <c r="C73" s="45">
        <v>1</v>
      </c>
      <c r="Q73" s="85">
        <f t="shared" si="1"/>
        <v>1</v>
      </c>
    </row>
    <row r="74" spans="1:17">
      <c r="A74" s="96" t="str">
        <f>"403510078"</f>
        <v>403510078</v>
      </c>
      <c r="B74" s="96" t="s">
        <v>1834</v>
      </c>
      <c r="C74" s="45">
        <v>1</v>
      </c>
      <c r="D74" s="2">
        <v>1</v>
      </c>
      <c r="Q74" s="85">
        <f t="shared" si="1"/>
        <v>2</v>
      </c>
    </row>
    <row r="75" spans="1:17">
      <c r="A75" s="96" t="str">
        <f>"403510079"</f>
        <v>403510079</v>
      </c>
      <c r="B75" s="96" t="s">
        <v>1835</v>
      </c>
      <c r="C75" s="45">
        <v>1</v>
      </c>
      <c r="Q75" s="85">
        <f t="shared" si="1"/>
        <v>1</v>
      </c>
    </row>
    <row r="76" spans="1:17">
      <c r="A76" s="96" t="str">
        <f>"403510080"</f>
        <v>403510080</v>
      </c>
      <c r="B76" s="96" t="s">
        <v>1836</v>
      </c>
      <c r="C76" s="45">
        <v>1</v>
      </c>
      <c r="Q76" s="85">
        <f t="shared" si="1"/>
        <v>1</v>
      </c>
    </row>
    <row r="77" spans="1:17">
      <c r="A77" s="96" t="str">
        <f>"403510081"</f>
        <v>403510081</v>
      </c>
      <c r="B77" s="96" t="s">
        <v>1837</v>
      </c>
      <c r="C77" s="45">
        <v>1</v>
      </c>
      <c r="N77" s="2">
        <v>1</v>
      </c>
      <c r="Q77" s="85">
        <f t="shared" si="1"/>
        <v>2</v>
      </c>
    </row>
    <row r="78" spans="1:17">
      <c r="A78" s="96" t="str">
        <f>"403510082"</f>
        <v>403510082</v>
      </c>
      <c r="B78" s="96" t="s">
        <v>1838</v>
      </c>
      <c r="C78" s="45">
        <v>1</v>
      </c>
      <c r="Q78" s="85">
        <f t="shared" si="1"/>
        <v>1</v>
      </c>
    </row>
    <row r="79" spans="1:17">
      <c r="A79" s="96" t="str">
        <f>"403510083"</f>
        <v>403510083</v>
      </c>
      <c r="B79" s="96" t="s">
        <v>1839</v>
      </c>
      <c r="C79" s="45">
        <v>1</v>
      </c>
      <c r="Q79" s="85">
        <f t="shared" si="1"/>
        <v>1</v>
      </c>
    </row>
    <row r="80" spans="1:17">
      <c r="A80" s="96" t="str">
        <f>"403510084"</f>
        <v>403510084</v>
      </c>
      <c r="B80" s="96" t="s">
        <v>1840</v>
      </c>
      <c r="C80" s="45">
        <v>1</v>
      </c>
      <c r="D80" s="2">
        <v>1</v>
      </c>
      <c r="Q80" s="85">
        <f t="shared" si="1"/>
        <v>2</v>
      </c>
    </row>
    <row r="81" spans="1:17">
      <c r="A81" s="96" t="str">
        <f>"403510085"</f>
        <v>403510085</v>
      </c>
      <c r="B81" s="96" t="s">
        <v>1841</v>
      </c>
      <c r="C81" s="45">
        <v>1</v>
      </c>
      <c r="D81" s="2">
        <v>1</v>
      </c>
      <c r="Q81" s="85">
        <f t="shared" si="1"/>
        <v>2</v>
      </c>
    </row>
    <row r="82" spans="1:17">
      <c r="A82" s="96" t="str">
        <f>"403510087"</f>
        <v>403510087</v>
      </c>
      <c r="B82" s="96" t="s">
        <v>1842</v>
      </c>
      <c r="C82" s="45">
        <v>1</v>
      </c>
      <c r="D82" s="2">
        <v>1</v>
      </c>
      <c r="Q82" s="85">
        <f t="shared" si="1"/>
        <v>2</v>
      </c>
    </row>
    <row r="83" spans="1:17">
      <c r="A83" s="96" t="str">
        <f>"403510088"</f>
        <v>403510088</v>
      </c>
      <c r="B83" s="96" t="s">
        <v>1843</v>
      </c>
      <c r="C83" s="45">
        <v>1</v>
      </c>
      <c r="Q83" s="85">
        <f t="shared" si="1"/>
        <v>1</v>
      </c>
    </row>
    <row r="84" spans="1:17">
      <c r="A84" s="96" t="str">
        <f>"403510089"</f>
        <v>403510089</v>
      </c>
      <c r="B84" s="96" t="s">
        <v>1844</v>
      </c>
      <c r="C84" s="45">
        <v>1</v>
      </c>
      <c r="Q84" s="85">
        <f t="shared" si="1"/>
        <v>1</v>
      </c>
    </row>
    <row r="85" spans="1:17">
      <c r="A85" s="96" t="str">
        <f>"403510090"</f>
        <v>403510090</v>
      </c>
      <c r="B85" s="96" t="s">
        <v>1845</v>
      </c>
      <c r="C85" s="45">
        <v>1</v>
      </c>
      <c r="D85" s="2">
        <v>1</v>
      </c>
      <c r="K85" s="2">
        <v>1</v>
      </c>
      <c r="Q85" s="85">
        <f t="shared" si="1"/>
        <v>3</v>
      </c>
    </row>
    <row r="86" spans="1:17">
      <c r="A86" s="96" t="str">
        <f>"403510091"</f>
        <v>403510091</v>
      </c>
      <c r="B86" s="96" t="s">
        <v>1846</v>
      </c>
      <c r="C86" s="45">
        <v>1</v>
      </c>
      <c r="Q86" s="85">
        <f t="shared" si="1"/>
        <v>1</v>
      </c>
    </row>
    <row r="87" spans="1:17">
      <c r="A87" s="96" t="str">
        <f>"403510092"</f>
        <v>403510092</v>
      </c>
      <c r="B87" s="96" t="s">
        <v>1847</v>
      </c>
      <c r="C87" s="45">
        <v>1</v>
      </c>
      <c r="D87" s="2">
        <v>1</v>
      </c>
      <c r="Q87" s="85">
        <f t="shared" si="1"/>
        <v>2</v>
      </c>
    </row>
    <row r="88" spans="1:17">
      <c r="A88" s="96" t="str">
        <f>"403510093"</f>
        <v>403510093</v>
      </c>
      <c r="B88" s="96" t="s">
        <v>1848</v>
      </c>
      <c r="C88" s="45">
        <v>1</v>
      </c>
      <c r="D88" s="2">
        <v>1</v>
      </c>
      <c r="Q88" s="85">
        <f t="shared" si="1"/>
        <v>2</v>
      </c>
    </row>
    <row r="89" spans="1:17">
      <c r="A89" s="96" t="str">
        <f>"403510094"</f>
        <v>403510094</v>
      </c>
      <c r="B89" s="96" t="s">
        <v>1849</v>
      </c>
      <c r="C89" s="45">
        <v>1</v>
      </c>
      <c r="D89" s="2">
        <v>1</v>
      </c>
      <c r="I89" s="2">
        <v>1</v>
      </c>
      <c r="J89" s="2">
        <v>1</v>
      </c>
      <c r="L89" s="2">
        <v>1</v>
      </c>
      <c r="Q89" s="85">
        <f t="shared" si="1"/>
        <v>5</v>
      </c>
    </row>
    <row r="90" spans="1:17">
      <c r="A90" s="96" t="str">
        <f>"403510095"</f>
        <v>403510095</v>
      </c>
      <c r="B90" s="96" t="s">
        <v>1850</v>
      </c>
      <c r="C90" s="45">
        <v>1</v>
      </c>
      <c r="Q90" s="85">
        <f t="shared" si="1"/>
        <v>1</v>
      </c>
    </row>
    <row r="91" spans="1:17">
      <c r="A91" s="96" t="str">
        <f>"403510096"</f>
        <v>403510096</v>
      </c>
      <c r="B91" s="96" t="s">
        <v>1851</v>
      </c>
      <c r="C91" s="45">
        <v>1</v>
      </c>
      <c r="N91" s="2">
        <v>1</v>
      </c>
      <c r="Q91" s="85">
        <f t="shared" si="1"/>
        <v>2</v>
      </c>
    </row>
    <row r="92" spans="1:17">
      <c r="A92" s="96" t="str">
        <f>"403510097"</f>
        <v>403510097</v>
      </c>
      <c r="B92" s="96" t="s">
        <v>1852</v>
      </c>
      <c r="C92" s="45">
        <v>1</v>
      </c>
      <c r="Q92" s="85">
        <f t="shared" si="1"/>
        <v>1</v>
      </c>
    </row>
    <row r="93" spans="1:17">
      <c r="A93" s="96" t="str">
        <f>"403510098"</f>
        <v>403510098</v>
      </c>
      <c r="B93" s="96" t="s">
        <v>1853</v>
      </c>
      <c r="C93" s="45">
        <v>1</v>
      </c>
      <c r="Q93" s="85">
        <f t="shared" si="1"/>
        <v>1</v>
      </c>
    </row>
    <row r="94" spans="1:17">
      <c r="A94" s="96" t="str">
        <f>"403510099"</f>
        <v>403510099</v>
      </c>
      <c r="B94" s="96" t="s">
        <v>1854</v>
      </c>
      <c r="C94" s="45">
        <v>1</v>
      </c>
      <c r="N94" s="2">
        <v>1</v>
      </c>
      <c r="Q94" s="85">
        <f t="shared" si="1"/>
        <v>2</v>
      </c>
    </row>
    <row r="95" spans="1:17">
      <c r="A95" s="96" t="str">
        <f>"403510100"</f>
        <v>403510100</v>
      </c>
      <c r="B95" s="96" t="s">
        <v>1855</v>
      </c>
      <c r="C95" s="45">
        <v>1</v>
      </c>
      <c r="Q95" s="85">
        <f t="shared" si="1"/>
        <v>1</v>
      </c>
    </row>
    <row r="96" spans="1:17">
      <c r="A96" s="96" t="str">
        <f>"403510101"</f>
        <v>403510101</v>
      </c>
      <c r="B96" s="96" t="s">
        <v>1856</v>
      </c>
      <c r="C96" s="45">
        <v>1</v>
      </c>
      <c r="Q96" s="85">
        <f t="shared" si="1"/>
        <v>1</v>
      </c>
    </row>
    <row r="97" spans="1:17">
      <c r="A97" s="96" t="str">
        <f>"403510102"</f>
        <v>403510102</v>
      </c>
      <c r="B97" s="96" t="s">
        <v>1857</v>
      </c>
      <c r="C97" s="45">
        <v>1</v>
      </c>
      <c r="Q97" s="85">
        <f t="shared" si="1"/>
        <v>1</v>
      </c>
    </row>
    <row r="98" spans="1:17">
      <c r="A98" s="96" t="str">
        <f>"403510103"</f>
        <v>403510103</v>
      </c>
      <c r="B98" s="96" t="s">
        <v>1858</v>
      </c>
      <c r="C98" s="45">
        <v>1</v>
      </c>
      <c r="D98" s="2">
        <v>1</v>
      </c>
      <c r="Q98" s="85">
        <f t="shared" si="1"/>
        <v>2</v>
      </c>
    </row>
    <row r="99" spans="1:17">
      <c r="A99" s="96" t="str">
        <f>"403510104"</f>
        <v>403510104</v>
      </c>
      <c r="B99" s="96" t="s">
        <v>1859</v>
      </c>
      <c r="C99" s="45">
        <v>1</v>
      </c>
      <c r="K99" s="2">
        <v>1</v>
      </c>
      <c r="Q99" s="85">
        <f t="shared" si="1"/>
        <v>2</v>
      </c>
    </row>
    <row r="100" spans="1:17">
      <c r="A100" s="96" t="str">
        <f>"403510105"</f>
        <v>403510105</v>
      </c>
      <c r="B100" s="96" t="s">
        <v>1860</v>
      </c>
      <c r="C100" s="45">
        <v>1</v>
      </c>
      <c r="D100" s="2">
        <v>1</v>
      </c>
      <c r="Q100" s="85">
        <f t="shared" si="1"/>
        <v>2</v>
      </c>
    </row>
    <row r="101" spans="1:17">
      <c r="A101" s="96" t="str">
        <f>"403510106"</f>
        <v>403510106</v>
      </c>
      <c r="B101" s="96" t="s">
        <v>1861</v>
      </c>
      <c r="C101" s="45">
        <v>1</v>
      </c>
      <c r="D101" s="2">
        <v>1</v>
      </c>
      <c r="Q101" s="85">
        <f t="shared" si="1"/>
        <v>2</v>
      </c>
    </row>
    <row r="102" spans="1:17">
      <c r="A102" s="96" t="str">
        <f>"403510107"</f>
        <v>403510107</v>
      </c>
      <c r="B102" s="96" t="s">
        <v>1862</v>
      </c>
      <c r="C102" s="45">
        <v>1</v>
      </c>
      <c r="Q102" s="85">
        <f t="shared" si="1"/>
        <v>1</v>
      </c>
    </row>
    <row r="103" spans="1:17">
      <c r="A103" s="96" t="str">
        <f>"403510108"</f>
        <v>403510108</v>
      </c>
      <c r="B103" s="96" t="s">
        <v>1863</v>
      </c>
      <c r="C103" s="45">
        <v>1</v>
      </c>
      <c r="K103" s="2">
        <v>1</v>
      </c>
      <c r="Q103" s="85">
        <f t="shared" si="1"/>
        <v>2</v>
      </c>
    </row>
    <row r="104" spans="1:17">
      <c r="A104" s="96" t="str">
        <f>"403510109"</f>
        <v>403510109</v>
      </c>
      <c r="B104" s="96" t="s">
        <v>1864</v>
      </c>
      <c r="C104" s="45">
        <v>1</v>
      </c>
      <c r="Q104" s="85">
        <f t="shared" si="1"/>
        <v>1</v>
      </c>
    </row>
    <row r="105" spans="1:17">
      <c r="A105" s="96">
        <v>403510116</v>
      </c>
      <c r="B105" s="96" t="s">
        <v>1865</v>
      </c>
      <c r="C105" s="4"/>
      <c r="D105" s="4"/>
      <c r="J105" s="2">
        <v>1</v>
      </c>
      <c r="Q105" s="85">
        <f t="shared" si="1"/>
        <v>1</v>
      </c>
    </row>
    <row r="106" spans="1:17">
      <c r="A106" s="96">
        <v>403510119</v>
      </c>
      <c r="B106" s="96" t="s">
        <v>1866</v>
      </c>
      <c r="C106" s="4"/>
      <c r="D106" s="4"/>
      <c r="N106" s="2">
        <v>1</v>
      </c>
      <c r="Q106" s="85">
        <f t="shared" si="1"/>
        <v>1</v>
      </c>
    </row>
    <row r="107" spans="1:17">
      <c r="A107" s="96">
        <v>403510121</v>
      </c>
      <c r="B107" s="96" t="s">
        <v>1867</v>
      </c>
      <c r="C107" s="4"/>
      <c r="D107" s="4"/>
      <c r="N107" s="2">
        <v>1</v>
      </c>
      <c r="Q107" s="85">
        <f t="shared" si="1"/>
        <v>1</v>
      </c>
    </row>
    <row r="108" spans="1:17">
      <c r="A108" s="96">
        <v>403510129</v>
      </c>
      <c r="B108" s="96" t="s">
        <v>1868</v>
      </c>
      <c r="C108" s="4"/>
      <c r="D108" s="4"/>
      <c r="N108" s="2">
        <v>1</v>
      </c>
      <c r="Q108" s="85">
        <f t="shared" si="1"/>
        <v>1</v>
      </c>
    </row>
    <row r="109" spans="1:17">
      <c r="A109" s="96">
        <v>403125038</v>
      </c>
      <c r="B109" s="96" t="s">
        <v>1869</v>
      </c>
      <c r="N109" s="2">
        <v>1</v>
      </c>
      <c r="Q109" s="85">
        <f t="shared" si="1"/>
        <v>1</v>
      </c>
    </row>
    <row r="110" spans="1:17">
      <c r="A110" s="96">
        <v>403310033</v>
      </c>
      <c r="B110" s="96" t="s">
        <v>1870</v>
      </c>
      <c r="N110" s="2">
        <v>1</v>
      </c>
      <c r="Q110" s="85">
        <f t="shared" si="1"/>
        <v>1</v>
      </c>
    </row>
    <row r="111" spans="1:17">
      <c r="A111" s="114">
        <v>403510112</v>
      </c>
      <c r="B111" s="114" t="s">
        <v>1871</v>
      </c>
      <c r="O111" s="2">
        <v>1</v>
      </c>
      <c r="Q111" s="85">
        <f t="shared" si="1"/>
        <v>1</v>
      </c>
    </row>
    <row r="112" spans="1:17">
      <c r="A112" s="114">
        <v>403510113</v>
      </c>
      <c r="B112" s="114" t="s">
        <v>1872</v>
      </c>
      <c r="Q112" s="85">
        <f t="shared" si="1"/>
        <v>0</v>
      </c>
    </row>
    <row r="113" spans="1:17">
      <c r="A113" s="114">
        <v>403510114</v>
      </c>
      <c r="B113" s="114" t="s">
        <v>1873</v>
      </c>
      <c r="P113" s="2">
        <v>1</v>
      </c>
      <c r="Q113" s="85">
        <f t="shared" si="1"/>
        <v>1</v>
      </c>
    </row>
    <row r="114" spans="1:17">
      <c r="A114" s="114">
        <v>403510115</v>
      </c>
      <c r="B114" s="114" t="s">
        <v>1874</v>
      </c>
      <c r="Q114" s="85">
        <f t="shared" si="1"/>
        <v>0</v>
      </c>
    </row>
    <row r="115" spans="1:17">
      <c r="A115" s="113">
        <v>403510116</v>
      </c>
      <c r="B115" s="113" t="s">
        <v>1875</v>
      </c>
      <c r="Q115" s="85">
        <f t="shared" si="1"/>
        <v>0</v>
      </c>
    </row>
    <row r="116" spans="1:17">
      <c r="A116" s="113">
        <v>403510121</v>
      </c>
      <c r="B116" s="113" t="s">
        <v>1876</v>
      </c>
      <c r="Q116" s="85">
        <f t="shared" si="1"/>
        <v>0</v>
      </c>
    </row>
    <row r="117" spans="1:17">
      <c r="A117" s="113">
        <v>403510124</v>
      </c>
      <c r="B117" s="113" t="s">
        <v>1877</v>
      </c>
      <c r="Q117" s="85">
        <f t="shared" si="1"/>
        <v>0</v>
      </c>
    </row>
    <row r="118" spans="1:17">
      <c r="A118" s="113">
        <v>403510125</v>
      </c>
      <c r="B118" s="113" t="s">
        <v>1878</v>
      </c>
      <c r="Q118" s="85">
        <f t="shared" si="1"/>
        <v>0</v>
      </c>
    </row>
    <row r="119" spans="1:17">
      <c r="A119" s="113">
        <v>403510127</v>
      </c>
      <c r="B119" s="113" t="s">
        <v>1879</v>
      </c>
      <c r="Q119" s="85">
        <f t="shared" si="1"/>
        <v>0</v>
      </c>
    </row>
    <row r="120" spans="1:17">
      <c r="A120" s="113">
        <v>403510128</v>
      </c>
      <c r="B120" s="113" t="s">
        <v>1880</v>
      </c>
      <c r="Q120" s="85">
        <f t="shared" si="1"/>
        <v>0</v>
      </c>
    </row>
    <row r="121" spans="1:17">
      <c r="A121" s="113">
        <v>403510129</v>
      </c>
      <c r="B121" s="113" t="s">
        <v>1881</v>
      </c>
      <c r="Q121" s="85">
        <f t="shared" si="1"/>
        <v>0</v>
      </c>
    </row>
    <row r="122" spans="1:17">
      <c r="A122" s="114">
        <v>403510130</v>
      </c>
      <c r="B122" s="106" t="s">
        <v>1882</v>
      </c>
      <c r="O122" s="2">
        <v>1</v>
      </c>
      <c r="Q122" s="85">
        <f t="shared" si="1"/>
        <v>1</v>
      </c>
    </row>
    <row r="123" spans="1:17">
      <c r="A123" s="114">
        <v>403510131</v>
      </c>
      <c r="B123" s="106" t="s">
        <v>1883</v>
      </c>
      <c r="Q123" s="85">
        <f t="shared" si="1"/>
        <v>0</v>
      </c>
    </row>
    <row r="127" spans="1:17">
      <c r="G127" s="2" t="s">
        <v>1893</v>
      </c>
      <c r="H127" s="109">
        <f>MEDIAN(Q3:Q123)</f>
        <v>1</v>
      </c>
    </row>
    <row r="129" spans="1:17" s="2" customFormat="1">
      <c r="A129" s="128" t="s">
        <v>1894</v>
      </c>
      <c r="B129" s="129"/>
      <c r="C129" s="129"/>
      <c r="D129" s="129"/>
      <c r="Q129" s="85"/>
    </row>
    <row r="130" spans="1:17" s="2" customFormat="1">
      <c r="A130" s="130" t="s">
        <v>1895</v>
      </c>
      <c r="B130" s="131"/>
      <c r="C130" s="131"/>
      <c r="D130" s="131"/>
      <c r="Q130" s="85"/>
    </row>
    <row r="131" spans="1:17" s="2" customFormat="1">
      <c r="A131" s="129" t="s">
        <v>1896</v>
      </c>
      <c r="B131" s="129"/>
      <c r="C131" s="129"/>
      <c r="D131" s="129"/>
      <c r="E131" s="129"/>
      <c r="F131" s="129"/>
      <c r="G131" s="129"/>
      <c r="Q131" s="85"/>
    </row>
    <row r="132" spans="1:17" s="2" customFormat="1">
      <c r="A132" s="129" t="s">
        <v>1897</v>
      </c>
      <c r="B132" s="129"/>
      <c r="C132" s="129"/>
      <c r="D132" s="129"/>
      <c r="E132" s="129"/>
      <c r="F132" s="129"/>
      <c r="G132" s="129"/>
      <c r="Q132" s="85"/>
    </row>
    <row r="133" spans="1:17" s="2" customFormat="1">
      <c r="A133" s="130" t="s">
        <v>1898</v>
      </c>
      <c r="B133" s="131"/>
      <c r="C133" s="131"/>
      <c r="D133" s="131"/>
      <c r="Q133" s="85"/>
    </row>
    <row r="134" spans="1:17" s="2" customFormat="1">
      <c r="A134" s="96" t="s">
        <v>1884</v>
      </c>
      <c r="B134" s="96"/>
      <c r="Q134" s="85"/>
    </row>
    <row r="135" spans="1:17" s="2" customFormat="1">
      <c r="A135" s="96" t="s">
        <v>1885</v>
      </c>
      <c r="B135" s="96"/>
      <c r="Q135" s="85"/>
    </row>
    <row r="136" spans="1:17" s="2" customFormat="1">
      <c r="A136" s="96" t="s">
        <v>1886</v>
      </c>
      <c r="B136" s="96"/>
      <c r="Q136" s="85"/>
    </row>
    <row r="137" spans="1:17" s="2" customFormat="1">
      <c r="A137" s="96" t="s">
        <v>1887</v>
      </c>
      <c r="B137" s="96"/>
    </row>
    <row r="138" spans="1:17" s="2" customFormat="1">
      <c r="A138" s="96" t="s">
        <v>1888</v>
      </c>
      <c r="B138" s="96"/>
    </row>
    <row r="139" spans="1:17" s="2" customFormat="1">
      <c r="A139" s="96" t="s">
        <v>1889</v>
      </c>
      <c r="B139" s="96"/>
      <c r="Q139" s="85"/>
    </row>
    <row r="140" spans="1:17">
      <c r="A140" s="96" t="s">
        <v>1890</v>
      </c>
    </row>
    <row r="141" spans="1:17">
      <c r="A141" s="96" t="s">
        <v>1891</v>
      </c>
    </row>
    <row r="142" spans="1:17">
      <c r="A142" s="117" t="s">
        <v>1902</v>
      </c>
    </row>
  </sheetData>
  <sortState ref="A3:I104">
    <sortCondition ref="A3"/>
  </sortState>
  <mergeCells count="5">
    <mergeCell ref="A129:D129"/>
    <mergeCell ref="A130:D130"/>
    <mergeCell ref="A131:G131"/>
    <mergeCell ref="A132:G132"/>
    <mergeCell ref="A133:D13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topLeftCell="A82" workbookViewId="0">
      <selection activeCell="B10" sqref="B10"/>
    </sheetView>
  </sheetViews>
  <sheetFormatPr defaultRowHeight="16.2"/>
  <cols>
    <col min="1" max="1" width="12.109375" style="39" customWidth="1"/>
    <col min="2" max="2" width="9" style="39"/>
    <col min="9" max="9" width="9.6640625" bestFit="1" customWidth="1"/>
  </cols>
  <sheetData>
    <row r="1" spans="1:20">
      <c r="A1" s="1" t="s">
        <v>700</v>
      </c>
      <c r="B1" s="2"/>
      <c r="C1" s="83">
        <f>MAX(P3:P113)</f>
        <v>6</v>
      </c>
      <c r="D1" s="2"/>
      <c r="E1" s="2"/>
      <c r="F1" s="2"/>
      <c r="G1" s="45"/>
      <c r="H1" s="2"/>
      <c r="I1" s="2"/>
      <c r="J1" s="2"/>
      <c r="K1" s="2"/>
      <c r="L1" s="2"/>
      <c r="M1" s="2"/>
      <c r="N1" s="2"/>
      <c r="O1" s="2"/>
      <c r="P1" s="2"/>
    </row>
    <row r="2" spans="1:20">
      <c r="A2" s="27" t="s">
        <v>646</v>
      </c>
      <c r="B2" s="27" t="s">
        <v>661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8" t="s">
        <v>143</v>
      </c>
      <c r="Q2" s="7"/>
      <c r="R2" s="7"/>
      <c r="S2" s="7"/>
      <c r="T2" s="7"/>
    </row>
    <row r="3" spans="1:20">
      <c r="A3" s="81">
        <v>401710006</v>
      </c>
      <c r="B3" s="82" t="s">
        <v>1497</v>
      </c>
      <c r="C3" s="21"/>
      <c r="D3" s="23"/>
      <c r="E3" s="23"/>
      <c r="F3" s="23"/>
      <c r="G3" s="23"/>
      <c r="H3" s="23"/>
      <c r="I3" s="23"/>
      <c r="J3" s="23">
        <v>1</v>
      </c>
      <c r="K3" s="23"/>
      <c r="L3" s="23"/>
      <c r="M3" s="23"/>
      <c r="N3" s="23"/>
      <c r="O3" s="23"/>
      <c r="P3" s="93">
        <f>SUM(C3:O3)</f>
        <v>1</v>
      </c>
      <c r="Q3" s="92"/>
      <c r="R3" s="7"/>
      <c r="S3" s="7"/>
      <c r="T3" s="7"/>
    </row>
    <row r="4" spans="1:20">
      <c r="A4" s="40" t="str">
        <f>"402510001"</f>
        <v>402510001</v>
      </c>
      <c r="B4" s="40" t="s">
        <v>1369</v>
      </c>
      <c r="C4" s="30">
        <v>1</v>
      </c>
      <c r="D4" s="30"/>
      <c r="E4" s="30"/>
      <c r="F4" s="30">
        <v>1</v>
      </c>
      <c r="G4" s="30"/>
      <c r="H4" s="30"/>
      <c r="I4" s="30"/>
      <c r="J4" s="30"/>
      <c r="K4" s="30"/>
      <c r="L4" s="30"/>
      <c r="M4" s="30"/>
      <c r="N4" s="30"/>
      <c r="O4" s="30"/>
      <c r="P4" s="93">
        <f t="shared" ref="P4:P67" si="0">SUM(C4:O4)</f>
        <v>2</v>
      </c>
      <c r="Q4" s="7"/>
    </row>
    <row r="5" spans="1:20">
      <c r="A5" s="40" t="str">
        <f>"402510002"</f>
        <v>402510002</v>
      </c>
      <c r="B5" s="40" t="s">
        <v>1419</v>
      </c>
      <c r="C5" s="30">
        <v>1</v>
      </c>
      <c r="D5" s="30">
        <v>1</v>
      </c>
      <c r="E5" s="30"/>
      <c r="F5" s="30">
        <v>1</v>
      </c>
      <c r="G5" s="30"/>
      <c r="H5" s="30"/>
      <c r="I5" s="30"/>
      <c r="J5" s="30"/>
      <c r="K5" s="30"/>
      <c r="L5" s="30">
        <v>1</v>
      </c>
      <c r="M5" s="30"/>
      <c r="N5" s="30"/>
      <c r="O5" s="30"/>
      <c r="P5" s="93">
        <f t="shared" si="0"/>
        <v>4</v>
      </c>
      <c r="Q5" s="7"/>
    </row>
    <row r="6" spans="1:20">
      <c r="A6" s="40" t="str">
        <f>"402510003"</f>
        <v>402510003</v>
      </c>
      <c r="B6" s="40" t="s">
        <v>1370</v>
      </c>
      <c r="C6" s="30">
        <v>1</v>
      </c>
      <c r="D6" s="30"/>
      <c r="E6" s="30"/>
      <c r="F6" s="30">
        <v>1</v>
      </c>
      <c r="G6" s="30"/>
      <c r="H6" s="30"/>
      <c r="I6" s="30"/>
      <c r="J6" s="30"/>
      <c r="K6" s="30"/>
      <c r="L6" s="30"/>
      <c r="M6" s="30"/>
      <c r="N6" s="30"/>
      <c r="O6" s="30"/>
      <c r="P6" s="93">
        <f t="shared" si="0"/>
        <v>2</v>
      </c>
      <c r="Q6" s="7"/>
    </row>
    <row r="7" spans="1:20">
      <c r="A7" s="40" t="str">
        <f>"402510007"</f>
        <v>402510007</v>
      </c>
      <c r="B7" s="40" t="s">
        <v>1371</v>
      </c>
      <c r="C7" s="30">
        <v>1</v>
      </c>
      <c r="D7" s="30"/>
      <c r="E7" s="30"/>
      <c r="F7" s="30">
        <v>1</v>
      </c>
      <c r="G7" s="30"/>
      <c r="H7" s="30"/>
      <c r="I7" s="30"/>
      <c r="J7" s="30"/>
      <c r="K7" s="30"/>
      <c r="L7" s="30"/>
      <c r="M7" s="30"/>
      <c r="N7" s="30"/>
      <c r="O7" s="30"/>
      <c r="P7" s="93">
        <f t="shared" si="0"/>
        <v>2</v>
      </c>
      <c r="Q7" s="7"/>
    </row>
    <row r="8" spans="1:20">
      <c r="A8" s="40" t="str">
        <f>"402510009"</f>
        <v>402510009</v>
      </c>
      <c r="B8" s="40" t="s">
        <v>1372</v>
      </c>
      <c r="C8" s="30">
        <v>1</v>
      </c>
      <c r="D8" s="30"/>
      <c r="E8" s="30"/>
      <c r="F8" s="30">
        <v>1</v>
      </c>
      <c r="G8" s="30"/>
      <c r="H8" s="30"/>
      <c r="I8" s="30"/>
      <c r="J8" s="30"/>
      <c r="K8" s="30"/>
      <c r="L8" s="30"/>
      <c r="M8" s="30"/>
      <c r="N8" s="30">
        <v>1</v>
      </c>
      <c r="O8" s="30"/>
      <c r="P8" s="93">
        <f t="shared" si="0"/>
        <v>3</v>
      </c>
      <c r="Q8" s="7"/>
    </row>
    <row r="9" spans="1:20">
      <c r="A9" s="40" t="str">
        <f>"402510012"</f>
        <v>402510012</v>
      </c>
      <c r="B9" s="40" t="s">
        <v>1420</v>
      </c>
      <c r="C9" s="30">
        <v>1</v>
      </c>
      <c r="D9" s="30"/>
      <c r="E9" s="30"/>
      <c r="F9" s="30">
        <v>1</v>
      </c>
      <c r="G9" s="30"/>
      <c r="H9" s="30"/>
      <c r="I9" s="30"/>
      <c r="J9" s="30"/>
      <c r="K9" s="30"/>
      <c r="L9" s="30"/>
      <c r="M9" s="30"/>
      <c r="N9" s="30"/>
      <c r="O9" s="30"/>
      <c r="P9" s="93">
        <f t="shared" si="0"/>
        <v>2</v>
      </c>
    </row>
    <row r="10" spans="1:20">
      <c r="A10" s="40" t="str">
        <f>"402510013"</f>
        <v>402510013</v>
      </c>
      <c r="B10" s="40" t="s">
        <v>1373</v>
      </c>
      <c r="C10" s="30">
        <v>1</v>
      </c>
      <c r="D10" s="30"/>
      <c r="E10" s="30"/>
      <c r="F10" s="30">
        <v>1</v>
      </c>
      <c r="G10" s="30"/>
      <c r="H10" s="30"/>
      <c r="I10" s="30"/>
      <c r="J10" s="30"/>
      <c r="K10" s="30"/>
      <c r="L10" s="30"/>
      <c r="M10" s="30"/>
      <c r="N10" s="30"/>
      <c r="O10" s="30"/>
      <c r="P10" s="93">
        <f t="shared" si="0"/>
        <v>2</v>
      </c>
    </row>
    <row r="11" spans="1:20">
      <c r="A11" s="40" t="str">
        <f>"402510014"</f>
        <v>402510014</v>
      </c>
      <c r="B11" s="40" t="s">
        <v>1421</v>
      </c>
      <c r="C11" s="30">
        <v>1</v>
      </c>
      <c r="D11" s="30"/>
      <c r="E11" s="30">
        <v>1</v>
      </c>
      <c r="F11" s="30">
        <v>1</v>
      </c>
      <c r="G11" s="30"/>
      <c r="H11" s="30"/>
      <c r="I11" s="30"/>
      <c r="J11" s="30"/>
      <c r="K11" s="30"/>
      <c r="L11" s="30"/>
      <c r="M11" s="30"/>
      <c r="N11" s="30"/>
      <c r="O11" s="30"/>
      <c r="P11" s="93">
        <f t="shared" si="0"/>
        <v>3</v>
      </c>
    </row>
    <row r="12" spans="1:20">
      <c r="A12" s="40" t="str">
        <f>"402510015"</f>
        <v>402510015</v>
      </c>
      <c r="B12" s="40" t="s">
        <v>1374</v>
      </c>
      <c r="C12" s="30">
        <v>1</v>
      </c>
      <c r="D12" s="30"/>
      <c r="E12" s="30"/>
      <c r="F12" s="30">
        <v>1</v>
      </c>
      <c r="G12" s="30"/>
      <c r="H12" s="30"/>
      <c r="I12" s="30"/>
      <c r="J12" s="30"/>
      <c r="K12" s="30"/>
      <c r="L12" s="30"/>
      <c r="M12" s="30"/>
      <c r="N12" s="30"/>
      <c r="O12" s="30"/>
      <c r="P12" s="93">
        <f t="shared" si="0"/>
        <v>2</v>
      </c>
    </row>
    <row r="13" spans="1:20">
      <c r="A13" s="40" t="str">
        <f>"402510016"</f>
        <v>402510016</v>
      </c>
      <c r="B13" s="40" t="s">
        <v>1422</v>
      </c>
      <c r="C13" s="30">
        <v>1</v>
      </c>
      <c r="D13" s="30"/>
      <c r="E13" s="30"/>
      <c r="F13" s="30">
        <v>1</v>
      </c>
      <c r="G13" s="30">
        <v>1</v>
      </c>
      <c r="H13" s="30"/>
      <c r="I13" s="30"/>
      <c r="J13" s="30"/>
      <c r="K13" s="30"/>
      <c r="L13" s="30"/>
      <c r="M13" s="30"/>
      <c r="N13" s="30"/>
      <c r="O13" s="30"/>
      <c r="P13" s="93">
        <f t="shared" si="0"/>
        <v>3</v>
      </c>
    </row>
    <row r="14" spans="1:20">
      <c r="A14" s="40" t="str">
        <f>"402510017"</f>
        <v>402510017</v>
      </c>
      <c r="B14" s="40" t="s">
        <v>1375</v>
      </c>
      <c r="C14" s="30">
        <v>1</v>
      </c>
      <c r="D14" s="30"/>
      <c r="E14" s="30"/>
      <c r="F14" s="30">
        <v>1</v>
      </c>
      <c r="G14" s="30"/>
      <c r="H14" s="30"/>
      <c r="I14" s="30"/>
      <c r="J14" s="30"/>
      <c r="K14" s="30"/>
      <c r="L14" s="30"/>
      <c r="M14" s="30"/>
      <c r="N14" s="30"/>
      <c r="O14" s="30"/>
      <c r="P14" s="93">
        <f t="shared" si="0"/>
        <v>2</v>
      </c>
    </row>
    <row r="15" spans="1:20">
      <c r="A15" s="40" t="str">
        <f>"402510018"</f>
        <v>402510018</v>
      </c>
      <c r="B15" s="40" t="s">
        <v>1423</v>
      </c>
      <c r="C15" s="30">
        <v>1</v>
      </c>
      <c r="D15" s="30"/>
      <c r="E15" s="30">
        <v>1</v>
      </c>
      <c r="F15" s="30">
        <v>1</v>
      </c>
      <c r="G15" s="30"/>
      <c r="H15" s="30"/>
      <c r="I15" s="30"/>
      <c r="J15" s="30"/>
      <c r="K15" s="30"/>
      <c r="L15" s="30"/>
      <c r="M15" s="30"/>
      <c r="N15" s="30"/>
      <c r="O15" s="30"/>
      <c r="P15" s="93">
        <f t="shared" si="0"/>
        <v>3</v>
      </c>
    </row>
    <row r="16" spans="1:20">
      <c r="A16" s="40" t="str">
        <f>"402510019"</f>
        <v>402510019</v>
      </c>
      <c r="B16" s="40" t="s">
        <v>1376</v>
      </c>
      <c r="C16" s="30">
        <v>1</v>
      </c>
      <c r="D16" s="30"/>
      <c r="E16" s="30"/>
      <c r="F16" s="30">
        <v>1</v>
      </c>
      <c r="G16" s="30"/>
      <c r="H16" s="30"/>
      <c r="I16" s="30"/>
      <c r="J16" s="30"/>
      <c r="K16" s="30"/>
      <c r="L16" s="30"/>
      <c r="M16" s="30"/>
      <c r="N16" s="30"/>
      <c r="O16" s="30"/>
      <c r="P16" s="93">
        <f t="shared" si="0"/>
        <v>2</v>
      </c>
    </row>
    <row r="17" spans="1:16">
      <c r="A17" s="40" t="str">
        <f>"402510020"</f>
        <v>402510020</v>
      </c>
      <c r="B17" s="40" t="s">
        <v>1424</v>
      </c>
      <c r="C17" s="30">
        <v>1</v>
      </c>
      <c r="D17" s="30"/>
      <c r="E17" s="30">
        <v>1</v>
      </c>
      <c r="F17" s="30">
        <v>1</v>
      </c>
      <c r="G17" s="30"/>
      <c r="H17" s="30"/>
      <c r="I17" s="30"/>
      <c r="J17" s="30"/>
      <c r="K17" s="30"/>
      <c r="L17" s="30"/>
      <c r="M17" s="30"/>
      <c r="N17" s="30"/>
      <c r="O17" s="30"/>
      <c r="P17" s="93">
        <f t="shared" si="0"/>
        <v>3</v>
      </c>
    </row>
    <row r="18" spans="1:16">
      <c r="A18" s="40" t="str">
        <f>"402510021"</f>
        <v>402510021</v>
      </c>
      <c r="B18" s="40" t="s">
        <v>1377</v>
      </c>
      <c r="C18" s="30">
        <v>1</v>
      </c>
      <c r="D18" s="30"/>
      <c r="E18" s="30"/>
      <c r="F18" s="30">
        <v>1</v>
      </c>
      <c r="G18" s="30">
        <v>1</v>
      </c>
      <c r="H18" s="30"/>
      <c r="I18" s="30"/>
      <c r="J18" s="30"/>
      <c r="K18" s="30"/>
      <c r="L18" s="30"/>
      <c r="M18" s="30"/>
      <c r="N18" s="30"/>
      <c r="O18" s="30"/>
      <c r="P18" s="93">
        <f t="shared" si="0"/>
        <v>3</v>
      </c>
    </row>
    <row r="19" spans="1:16">
      <c r="A19" s="40" t="str">
        <f>"402510022"</f>
        <v>402510022</v>
      </c>
      <c r="B19" s="40" t="s">
        <v>1425</v>
      </c>
      <c r="C19" s="30">
        <v>1</v>
      </c>
      <c r="D19" s="30"/>
      <c r="E19" s="30">
        <v>1</v>
      </c>
      <c r="F19" s="30">
        <v>1</v>
      </c>
      <c r="G19" s="30"/>
      <c r="H19" s="30"/>
      <c r="I19" s="30"/>
      <c r="J19" s="30"/>
      <c r="K19" s="30"/>
      <c r="L19" s="30"/>
      <c r="M19" s="30"/>
      <c r="N19" s="30"/>
      <c r="O19" s="30"/>
      <c r="P19" s="93">
        <f t="shared" si="0"/>
        <v>3</v>
      </c>
    </row>
    <row r="20" spans="1:16">
      <c r="A20" s="40" t="str">
        <f>"402510023"</f>
        <v>402510023</v>
      </c>
      <c r="B20" s="40" t="s">
        <v>1378</v>
      </c>
      <c r="C20" s="30">
        <v>1</v>
      </c>
      <c r="D20" s="30"/>
      <c r="E20" s="30"/>
      <c r="F20" s="30">
        <v>1</v>
      </c>
      <c r="G20" s="30"/>
      <c r="H20" s="30"/>
      <c r="I20" s="30"/>
      <c r="J20" s="30"/>
      <c r="K20" s="30"/>
      <c r="L20" s="30"/>
      <c r="M20" s="30"/>
      <c r="N20" s="30"/>
      <c r="O20" s="30"/>
      <c r="P20" s="93">
        <f t="shared" si="0"/>
        <v>2</v>
      </c>
    </row>
    <row r="21" spans="1:16">
      <c r="A21" s="40" t="str">
        <f>"402510024"</f>
        <v>402510024</v>
      </c>
      <c r="B21" s="40" t="s">
        <v>1426</v>
      </c>
      <c r="C21" s="30">
        <v>1</v>
      </c>
      <c r="D21" s="30"/>
      <c r="E21" s="30"/>
      <c r="F21" s="30">
        <v>1</v>
      </c>
      <c r="G21" s="30"/>
      <c r="H21" s="30">
        <v>1</v>
      </c>
      <c r="I21" s="30"/>
      <c r="J21" s="30"/>
      <c r="K21" s="30"/>
      <c r="L21" s="30"/>
      <c r="M21" s="30"/>
      <c r="N21" s="30"/>
      <c r="O21" s="30"/>
      <c r="P21" s="93">
        <f t="shared" si="0"/>
        <v>3</v>
      </c>
    </row>
    <row r="22" spans="1:16">
      <c r="A22" s="40" t="str">
        <f>"402510025"</f>
        <v>402510025</v>
      </c>
      <c r="B22" s="40" t="s">
        <v>1379</v>
      </c>
      <c r="C22" s="30">
        <v>1</v>
      </c>
      <c r="D22" s="30"/>
      <c r="E22" s="30"/>
      <c r="F22" s="30">
        <v>1</v>
      </c>
      <c r="G22" s="30"/>
      <c r="H22" s="30"/>
      <c r="I22" s="30"/>
      <c r="J22" s="30"/>
      <c r="K22" s="30"/>
      <c r="L22" s="30"/>
      <c r="M22" s="30"/>
      <c r="N22" s="30"/>
      <c r="O22" s="30"/>
      <c r="P22" s="93">
        <f t="shared" si="0"/>
        <v>2</v>
      </c>
    </row>
    <row r="23" spans="1:16">
      <c r="A23" s="40" t="str">
        <f>"402510026"</f>
        <v>402510026</v>
      </c>
      <c r="B23" s="40" t="s">
        <v>1427</v>
      </c>
      <c r="C23" s="30">
        <v>1</v>
      </c>
      <c r="D23" s="30"/>
      <c r="E23" s="30"/>
      <c r="F23" s="30">
        <v>1</v>
      </c>
      <c r="G23" s="30"/>
      <c r="H23" s="30">
        <v>1</v>
      </c>
      <c r="I23" s="30"/>
      <c r="J23" s="30"/>
      <c r="K23" s="30"/>
      <c r="L23" s="30"/>
      <c r="M23" s="30"/>
      <c r="N23" s="30"/>
      <c r="O23" s="30"/>
      <c r="P23" s="93">
        <f t="shared" si="0"/>
        <v>3</v>
      </c>
    </row>
    <row r="24" spans="1:16">
      <c r="A24" s="40" t="str">
        <f>"402510027"</f>
        <v>402510027</v>
      </c>
      <c r="B24" s="40" t="s">
        <v>1380</v>
      </c>
      <c r="C24" s="30">
        <v>1</v>
      </c>
      <c r="D24" s="30"/>
      <c r="E24" s="30"/>
      <c r="F24" s="30">
        <v>1</v>
      </c>
      <c r="G24" s="30"/>
      <c r="H24" s="30"/>
      <c r="I24" s="30"/>
      <c r="J24" s="30"/>
      <c r="K24" s="30"/>
      <c r="L24" s="30">
        <v>1</v>
      </c>
      <c r="M24" s="30"/>
      <c r="N24" s="30"/>
      <c r="O24" s="30"/>
      <c r="P24" s="93">
        <f t="shared" si="0"/>
        <v>3</v>
      </c>
    </row>
    <row r="25" spans="1:16">
      <c r="A25" s="40" t="str">
        <f>"402510028"</f>
        <v>402510028</v>
      </c>
      <c r="B25" s="40" t="s">
        <v>1428</v>
      </c>
      <c r="C25" s="30">
        <v>1</v>
      </c>
      <c r="D25" s="30"/>
      <c r="E25" s="30">
        <v>1</v>
      </c>
      <c r="F25" s="30">
        <v>1</v>
      </c>
      <c r="G25" s="30"/>
      <c r="H25" s="30"/>
      <c r="I25" s="30"/>
      <c r="J25" s="30"/>
      <c r="K25" s="30"/>
      <c r="L25" s="30"/>
      <c r="M25" s="30"/>
      <c r="N25" s="30"/>
      <c r="O25" s="30"/>
      <c r="P25" s="93">
        <f t="shared" si="0"/>
        <v>3</v>
      </c>
    </row>
    <row r="26" spans="1:16">
      <c r="A26" s="40" t="str">
        <f>"402510029"</f>
        <v>402510029</v>
      </c>
      <c r="B26" s="40" t="s">
        <v>1381</v>
      </c>
      <c r="C26" s="30">
        <v>1</v>
      </c>
      <c r="D26" s="30"/>
      <c r="E26" s="30"/>
      <c r="F26" s="30">
        <v>1</v>
      </c>
      <c r="G26" s="30"/>
      <c r="H26" s="30"/>
      <c r="I26" s="30"/>
      <c r="J26" s="30"/>
      <c r="K26" s="30"/>
      <c r="L26" s="30"/>
      <c r="M26" s="30"/>
      <c r="N26" s="30"/>
      <c r="O26" s="30"/>
      <c r="P26" s="93">
        <f t="shared" si="0"/>
        <v>2</v>
      </c>
    </row>
    <row r="27" spans="1:16">
      <c r="A27" s="40" t="str">
        <f>"402510030"</f>
        <v>402510030</v>
      </c>
      <c r="B27" s="40" t="s">
        <v>1429</v>
      </c>
      <c r="C27" s="30">
        <v>1</v>
      </c>
      <c r="D27" s="30"/>
      <c r="E27" s="30">
        <v>1</v>
      </c>
      <c r="F27" s="30">
        <v>1</v>
      </c>
      <c r="G27" s="30"/>
      <c r="H27" s="30"/>
      <c r="I27" s="30"/>
      <c r="J27" s="30"/>
      <c r="K27" s="30"/>
      <c r="L27" s="30"/>
      <c r="M27" s="30"/>
      <c r="N27" s="30"/>
      <c r="O27" s="30"/>
      <c r="P27" s="93">
        <f t="shared" si="0"/>
        <v>3</v>
      </c>
    </row>
    <row r="28" spans="1:16">
      <c r="A28" s="40" t="str">
        <f>"402510031"</f>
        <v>402510031</v>
      </c>
      <c r="B28" s="40" t="s">
        <v>1382</v>
      </c>
      <c r="C28" s="30">
        <v>1</v>
      </c>
      <c r="D28" s="30"/>
      <c r="E28" s="30"/>
      <c r="F28" s="30">
        <v>1</v>
      </c>
      <c r="G28" s="30"/>
      <c r="H28" s="30"/>
      <c r="I28" s="30"/>
      <c r="J28" s="30"/>
      <c r="K28" s="30"/>
      <c r="L28" s="30">
        <v>1</v>
      </c>
      <c r="M28" s="30"/>
      <c r="N28" s="30"/>
      <c r="O28" s="30"/>
      <c r="P28" s="93">
        <f t="shared" si="0"/>
        <v>3</v>
      </c>
    </row>
    <row r="29" spans="1:16">
      <c r="A29" s="40" t="str">
        <f>"402510032"</f>
        <v>402510032</v>
      </c>
      <c r="B29" s="40" t="s">
        <v>1430</v>
      </c>
      <c r="C29" s="30">
        <v>1</v>
      </c>
      <c r="D29" s="30"/>
      <c r="E29" s="30"/>
      <c r="F29" s="30">
        <v>1</v>
      </c>
      <c r="G29" s="30"/>
      <c r="H29" s="30"/>
      <c r="I29" s="30"/>
      <c r="J29" s="30"/>
      <c r="K29" s="30"/>
      <c r="L29" s="30"/>
      <c r="M29" s="30"/>
      <c r="N29" s="30"/>
      <c r="O29" s="30"/>
      <c r="P29" s="93">
        <f t="shared" si="0"/>
        <v>2</v>
      </c>
    </row>
    <row r="30" spans="1:16">
      <c r="A30" s="40" t="str">
        <f>"402510033"</f>
        <v>402510033</v>
      </c>
      <c r="B30" s="40" t="s">
        <v>1383</v>
      </c>
      <c r="C30" s="30">
        <v>1</v>
      </c>
      <c r="D30" s="30"/>
      <c r="E30" s="30"/>
      <c r="F30" s="30">
        <v>1</v>
      </c>
      <c r="G30" s="30"/>
      <c r="H30" s="30"/>
      <c r="I30" s="30"/>
      <c r="J30" s="30"/>
      <c r="K30" s="30"/>
      <c r="L30" s="30"/>
      <c r="M30" s="30"/>
      <c r="N30" s="30"/>
      <c r="O30" s="30"/>
      <c r="P30" s="93">
        <f t="shared" si="0"/>
        <v>2</v>
      </c>
    </row>
    <row r="31" spans="1:16">
      <c r="A31" s="40" t="str">
        <f>"402510034"</f>
        <v>402510034</v>
      </c>
      <c r="B31" s="40" t="s">
        <v>1431</v>
      </c>
      <c r="C31" s="30">
        <v>1</v>
      </c>
      <c r="D31" s="30"/>
      <c r="E31" s="30">
        <v>1</v>
      </c>
      <c r="F31" s="30">
        <v>1</v>
      </c>
      <c r="G31" s="30"/>
      <c r="H31" s="30"/>
      <c r="I31" s="30"/>
      <c r="J31" s="30"/>
      <c r="K31" s="30"/>
      <c r="L31" s="30"/>
      <c r="M31" s="30"/>
      <c r="N31" s="30"/>
      <c r="O31" s="30"/>
      <c r="P31" s="93">
        <f t="shared" si="0"/>
        <v>3</v>
      </c>
    </row>
    <row r="32" spans="1:16">
      <c r="A32" s="40" t="str">
        <f>"402510035"</f>
        <v>402510035</v>
      </c>
      <c r="B32" s="40" t="s">
        <v>1384</v>
      </c>
      <c r="C32" s="30">
        <v>1</v>
      </c>
      <c r="D32" s="30"/>
      <c r="E32" s="30"/>
      <c r="F32" s="30">
        <v>1</v>
      </c>
      <c r="G32" s="30"/>
      <c r="H32" s="30"/>
      <c r="I32" s="30"/>
      <c r="J32" s="30"/>
      <c r="K32" s="30"/>
      <c r="L32" s="30"/>
      <c r="M32" s="30"/>
      <c r="N32" s="30"/>
      <c r="O32" s="30"/>
      <c r="P32" s="93">
        <f t="shared" si="0"/>
        <v>2</v>
      </c>
    </row>
    <row r="33" spans="1:16">
      <c r="A33" s="40" t="str">
        <f>"402510036"</f>
        <v>402510036</v>
      </c>
      <c r="B33" s="40" t="s">
        <v>1432</v>
      </c>
      <c r="C33" s="30">
        <v>1</v>
      </c>
      <c r="D33" s="30"/>
      <c r="E33" s="30"/>
      <c r="F33" s="30">
        <v>1</v>
      </c>
      <c r="G33" s="30"/>
      <c r="H33" s="30"/>
      <c r="I33" s="30"/>
      <c r="J33" s="30"/>
      <c r="K33" s="30"/>
      <c r="L33" s="30"/>
      <c r="M33" s="30"/>
      <c r="N33" s="30"/>
      <c r="O33" s="30"/>
      <c r="P33" s="93">
        <f t="shared" si="0"/>
        <v>2</v>
      </c>
    </row>
    <row r="34" spans="1:16">
      <c r="A34" s="40" t="str">
        <f>"402510037"</f>
        <v>402510037</v>
      </c>
      <c r="B34" s="40" t="s">
        <v>1385</v>
      </c>
      <c r="C34" s="30">
        <v>1</v>
      </c>
      <c r="D34" s="30"/>
      <c r="E34" s="30"/>
      <c r="F34" s="30">
        <v>1</v>
      </c>
      <c r="G34" s="30"/>
      <c r="H34" s="30"/>
      <c r="I34" s="30"/>
      <c r="J34" s="30"/>
      <c r="K34" s="30"/>
      <c r="L34" s="30"/>
      <c r="M34" s="30"/>
      <c r="N34" s="30"/>
      <c r="O34" s="30"/>
      <c r="P34" s="93">
        <f t="shared" si="0"/>
        <v>2</v>
      </c>
    </row>
    <row r="35" spans="1:16">
      <c r="A35" s="40" t="str">
        <f>"402510038"</f>
        <v>402510038</v>
      </c>
      <c r="B35" s="40" t="s">
        <v>1433</v>
      </c>
      <c r="C35" s="30">
        <v>1</v>
      </c>
      <c r="D35" s="30">
        <v>1</v>
      </c>
      <c r="E35" s="30">
        <v>1</v>
      </c>
      <c r="F35" s="30">
        <v>1</v>
      </c>
      <c r="G35" s="30"/>
      <c r="H35" s="30"/>
      <c r="I35" s="30"/>
      <c r="J35" s="30"/>
      <c r="K35" s="30"/>
      <c r="L35" s="30"/>
      <c r="M35" s="30"/>
      <c r="N35" s="30"/>
      <c r="O35" s="30"/>
      <c r="P35" s="93">
        <f t="shared" si="0"/>
        <v>4</v>
      </c>
    </row>
    <row r="36" spans="1:16">
      <c r="A36" s="40" t="str">
        <f>"402510039"</f>
        <v>402510039</v>
      </c>
      <c r="B36" s="40" t="s">
        <v>1386</v>
      </c>
      <c r="C36" s="30">
        <v>1</v>
      </c>
      <c r="D36" s="30"/>
      <c r="E36" s="30"/>
      <c r="F36" s="30">
        <v>1</v>
      </c>
      <c r="G36" s="30"/>
      <c r="H36" s="30"/>
      <c r="I36" s="30"/>
      <c r="J36" s="30"/>
      <c r="K36" s="30"/>
      <c r="L36" s="30"/>
      <c r="M36" s="30"/>
      <c r="N36" s="30"/>
      <c r="O36" s="30"/>
      <c r="P36" s="93">
        <f t="shared" si="0"/>
        <v>2</v>
      </c>
    </row>
    <row r="37" spans="1:16">
      <c r="A37" s="40" t="str">
        <f>"402510040"</f>
        <v>402510040</v>
      </c>
      <c r="B37" s="40" t="s">
        <v>1434</v>
      </c>
      <c r="C37" s="30">
        <v>1</v>
      </c>
      <c r="D37" s="30"/>
      <c r="E37" s="30"/>
      <c r="F37" s="30">
        <v>1</v>
      </c>
      <c r="G37" s="30"/>
      <c r="H37" s="30"/>
      <c r="I37" s="30"/>
      <c r="J37" s="30"/>
      <c r="K37" s="30"/>
      <c r="L37" s="30"/>
      <c r="M37" s="30"/>
      <c r="N37" s="30"/>
      <c r="O37" s="30"/>
      <c r="P37" s="93">
        <f t="shared" si="0"/>
        <v>2</v>
      </c>
    </row>
    <row r="38" spans="1:16">
      <c r="A38" s="40" t="str">
        <f>"402510041"</f>
        <v>402510041</v>
      </c>
      <c r="B38" s="40" t="s">
        <v>1387</v>
      </c>
      <c r="C38" s="30">
        <v>1</v>
      </c>
      <c r="D38" s="30"/>
      <c r="E38" s="30"/>
      <c r="F38" s="30">
        <v>1</v>
      </c>
      <c r="G38" s="30"/>
      <c r="H38" s="30"/>
      <c r="I38" s="30"/>
      <c r="J38" s="30"/>
      <c r="K38" s="30"/>
      <c r="L38" s="30"/>
      <c r="M38" s="30"/>
      <c r="N38" s="30"/>
      <c r="O38" s="30"/>
      <c r="P38" s="93">
        <f t="shared" si="0"/>
        <v>2</v>
      </c>
    </row>
    <row r="39" spans="1:16">
      <c r="A39" s="40" t="str">
        <f>"402510042"</f>
        <v>402510042</v>
      </c>
      <c r="B39" s="40" t="s">
        <v>1435</v>
      </c>
      <c r="C39" s="30">
        <v>1</v>
      </c>
      <c r="D39" s="30"/>
      <c r="E39" s="30"/>
      <c r="F39" s="30">
        <v>1</v>
      </c>
      <c r="G39" s="30"/>
      <c r="H39" s="30"/>
      <c r="I39" s="30"/>
      <c r="J39" s="30"/>
      <c r="K39" s="30"/>
      <c r="L39" s="30"/>
      <c r="M39" s="30"/>
      <c r="N39" s="30"/>
      <c r="O39" s="30"/>
      <c r="P39" s="93">
        <f t="shared" si="0"/>
        <v>2</v>
      </c>
    </row>
    <row r="40" spans="1:16">
      <c r="A40" s="40" t="str">
        <f>"402510043"</f>
        <v>402510043</v>
      </c>
      <c r="B40" s="40" t="s">
        <v>1388</v>
      </c>
      <c r="C40" s="30">
        <v>1</v>
      </c>
      <c r="D40" s="30"/>
      <c r="E40" s="30"/>
      <c r="F40" s="30">
        <v>1</v>
      </c>
      <c r="G40" s="30"/>
      <c r="H40" s="30"/>
      <c r="I40" s="30"/>
      <c r="J40" s="30"/>
      <c r="K40" s="30"/>
      <c r="L40" s="30"/>
      <c r="M40" s="30"/>
      <c r="N40" s="30"/>
      <c r="O40" s="30"/>
      <c r="P40" s="93">
        <f t="shared" si="0"/>
        <v>2</v>
      </c>
    </row>
    <row r="41" spans="1:16">
      <c r="A41" s="40" t="str">
        <f>"402510044"</f>
        <v>402510044</v>
      </c>
      <c r="B41" s="40" t="s">
        <v>1436</v>
      </c>
      <c r="C41" s="30">
        <v>1</v>
      </c>
      <c r="D41" s="30"/>
      <c r="E41" s="30"/>
      <c r="F41" s="30">
        <v>1</v>
      </c>
      <c r="G41" s="30"/>
      <c r="H41" s="30"/>
      <c r="I41" s="30"/>
      <c r="J41" s="30"/>
      <c r="K41" s="30"/>
      <c r="L41" s="30"/>
      <c r="M41" s="30"/>
      <c r="N41" s="30"/>
      <c r="O41" s="30"/>
      <c r="P41" s="93">
        <f t="shared" si="0"/>
        <v>2</v>
      </c>
    </row>
    <row r="42" spans="1:16">
      <c r="A42" s="40" t="str">
        <f>"402510045"</f>
        <v>402510045</v>
      </c>
      <c r="B42" s="40" t="s">
        <v>1389</v>
      </c>
      <c r="C42" s="30">
        <v>1</v>
      </c>
      <c r="D42" s="30"/>
      <c r="E42" s="30"/>
      <c r="F42" s="30">
        <v>1</v>
      </c>
      <c r="G42" s="30"/>
      <c r="H42" s="30"/>
      <c r="I42" s="30"/>
      <c r="J42" s="30"/>
      <c r="K42" s="30"/>
      <c r="L42" s="30"/>
      <c r="M42" s="30"/>
      <c r="N42" s="30"/>
      <c r="O42" s="30"/>
      <c r="P42" s="93">
        <f t="shared" si="0"/>
        <v>2</v>
      </c>
    </row>
    <row r="43" spans="1:16">
      <c r="A43" s="40" t="str">
        <f>"402510046"</f>
        <v>402510046</v>
      </c>
      <c r="B43" s="40" t="s">
        <v>1437</v>
      </c>
      <c r="C43" s="30">
        <v>1</v>
      </c>
      <c r="D43" s="30"/>
      <c r="E43" s="30"/>
      <c r="F43" s="30">
        <v>1</v>
      </c>
      <c r="G43" s="30"/>
      <c r="H43" s="30"/>
      <c r="I43" s="30"/>
      <c r="J43" s="30"/>
      <c r="K43" s="30"/>
      <c r="L43" s="30"/>
      <c r="M43" s="30"/>
      <c r="N43" s="30"/>
      <c r="O43" s="30"/>
      <c r="P43" s="93">
        <f t="shared" si="0"/>
        <v>2</v>
      </c>
    </row>
    <row r="44" spans="1:16">
      <c r="A44" s="40" t="str">
        <f>"402510047"</f>
        <v>402510047</v>
      </c>
      <c r="B44" s="40" t="s">
        <v>1390</v>
      </c>
      <c r="C44" s="30">
        <v>1</v>
      </c>
      <c r="D44" s="30"/>
      <c r="E44" s="30"/>
      <c r="F44" s="30">
        <v>1</v>
      </c>
      <c r="G44" s="30">
        <v>1</v>
      </c>
      <c r="H44" s="30"/>
      <c r="I44" s="30"/>
      <c r="J44" s="30"/>
      <c r="K44" s="30"/>
      <c r="L44" s="30"/>
      <c r="M44" s="30"/>
      <c r="N44" s="30"/>
      <c r="O44" s="30"/>
      <c r="P44" s="93">
        <f t="shared" si="0"/>
        <v>3</v>
      </c>
    </row>
    <row r="45" spans="1:16">
      <c r="A45" s="40" t="str">
        <f>"402510048"</f>
        <v>402510048</v>
      </c>
      <c r="B45" s="40" t="s">
        <v>1438</v>
      </c>
      <c r="C45" s="30">
        <v>1</v>
      </c>
      <c r="D45" s="30"/>
      <c r="E45" s="30"/>
      <c r="F45" s="30">
        <v>1</v>
      </c>
      <c r="G45" s="30"/>
      <c r="H45" s="30"/>
      <c r="I45" s="30"/>
      <c r="J45" s="30"/>
      <c r="K45" s="30"/>
      <c r="L45" s="30"/>
      <c r="M45" s="30"/>
      <c r="N45" s="30"/>
      <c r="O45" s="30"/>
      <c r="P45" s="93">
        <f t="shared" si="0"/>
        <v>2</v>
      </c>
    </row>
    <row r="46" spans="1:16">
      <c r="A46" s="40" t="str">
        <f>"402510049"</f>
        <v>402510049</v>
      </c>
      <c r="B46" s="40" t="s">
        <v>1391</v>
      </c>
      <c r="C46" s="30">
        <v>1</v>
      </c>
      <c r="D46" s="30"/>
      <c r="E46" s="30"/>
      <c r="F46" s="30">
        <v>1</v>
      </c>
      <c r="G46" s="30"/>
      <c r="H46" s="30">
        <v>1</v>
      </c>
      <c r="I46" s="30"/>
      <c r="J46" s="30"/>
      <c r="K46" s="30"/>
      <c r="L46" s="30"/>
      <c r="M46" s="30">
        <v>1</v>
      </c>
      <c r="N46" s="30"/>
      <c r="O46" s="30"/>
      <c r="P46" s="93">
        <f t="shared" si="0"/>
        <v>4</v>
      </c>
    </row>
    <row r="47" spans="1:16">
      <c r="A47" s="40" t="str">
        <f>"402510050"</f>
        <v>402510050</v>
      </c>
      <c r="B47" s="40" t="s">
        <v>1439</v>
      </c>
      <c r="C47" s="30">
        <v>1</v>
      </c>
      <c r="D47" s="30"/>
      <c r="E47" s="30"/>
      <c r="F47" s="30">
        <v>1</v>
      </c>
      <c r="G47" s="30"/>
      <c r="H47" s="30">
        <v>1</v>
      </c>
      <c r="I47" s="30"/>
      <c r="J47" s="30"/>
      <c r="K47" s="30"/>
      <c r="L47" s="30"/>
      <c r="M47" s="30"/>
      <c r="N47" s="30"/>
      <c r="O47" s="30"/>
      <c r="P47" s="93">
        <f t="shared" si="0"/>
        <v>3</v>
      </c>
    </row>
    <row r="48" spans="1:16">
      <c r="A48" s="40" t="str">
        <f>"402510051"</f>
        <v>402510051</v>
      </c>
      <c r="B48" s="40" t="s">
        <v>1392</v>
      </c>
      <c r="C48" s="30">
        <v>1</v>
      </c>
      <c r="D48" s="30"/>
      <c r="E48" s="30"/>
      <c r="F48" s="30">
        <v>1</v>
      </c>
      <c r="G48" s="30"/>
      <c r="H48" s="30"/>
      <c r="I48" s="30"/>
      <c r="J48" s="30"/>
      <c r="K48" s="30"/>
      <c r="L48" s="30"/>
      <c r="M48" s="30"/>
      <c r="N48" s="30"/>
      <c r="O48" s="30"/>
      <c r="P48" s="93">
        <f t="shared" si="0"/>
        <v>2</v>
      </c>
    </row>
    <row r="49" spans="1:16">
      <c r="A49" s="40" t="str">
        <f>"402510052"</f>
        <v>402510052</v>
      </c>
      <c r="B49" s="40" t="s">
        <v>1440</v>
      </c>
      <c r="C49" s="30">
        <v>1</v>
      </c>
      <c r="D49" s="30"/>
      <c r="E49" s="30"/>
      <c r="F49" s="30">
        <v>1</v>
      </c>
      <c r="G49" s="30"/>
      <c r="H49" s="30"/>
      <c r="I49" s="30"/>
      <c r="J49" s="30">
        <v>1</v>
      </c>
      <c r="K49" s="30">
        <v>1</v>
      </c>
      <c r="L49" s="30">
        <v>1</v>
      </c>
      <c r="M49" s="30"/>
      <c r="N49" s="30"/>
      <c r="O49" s="30"/>
      <c r="P49" s="93">
        <f t="shared" si="0"/>
        <v>5</v>
      </c>
    </row>
    <row r="50" spans="1:16">
      <c r="A50" s="40" t="str">
        <f>"402510053"</f>
        <v>402510053</v>
      </c>
      <c r="B50" s="40" t="s">
        <v>1393</v>
      </c>
      <c r="C50" s="30">
        <v>1</v>
      </c>
      <c r="D50" s="30"/>
      <c r="E50" s="30"/>
      <c r="F50" s="30">
        <v>1</v>
      </c>
      <c r="G50" s="30"/>
      <c r="H50" s="30"/>
      <c r="I50" s="30"/>
      <c r="J50" s="30">
        <v>1</v>
      </c>
      <c r="K50" s="30"/>
      <c r="L50" s="30"/>
      <c r="M50" s="30"/>
      <c r="N50" s="30"/>
      <c r="O50" s="30"/>
      <c r="P50" s="93">
        <f t="shared" si="0"/>
        <v>3</v>
      </c>
    </row>
    <row r="51" spans="1:16">
      <c r="A51" s="40" t="str">
        <f>"402510054"</f>
        <v>402510054</v>
      </c>
      <c r="B51" s="40" t="s">
        <v>1441</v>
      </c>
      <c r="C51" s="30">
        <v>1</v>
      </c>
      <c r="D51" s="30"/>
      <c r="E51" s="30">
        <v>1</v>
      </c>
      <c r="F51" s="30">
        <v>1</v>
      </c>
      <c r="G51" s="30"/>
      <c r="H51" s="30"/>
      <c r="I51" s="30"/>
      <c r="J51" s="30"/>
      <c r="K51" s="30"/>
      <c r="L51" s="30"/>
      <c r="M51" s="30"/>
      <c r="N51" s="30"/>
      <c r="O51" s="30"/>
      <c r="P51" s="93">
        <f t="shared" si="0"/>
        <v>3</v>
      </c>
    </row>
    <row r="52" spans="1:16">
      <c r="A52" s="40" t="str">
        <f>"402510055"</f>
        <v>402510055</v>
      </c>
      <c r="B52" s="40" t="s">
        <v>1394</v>
      </c>
      <c r="C52" s="30">
        <v>1</v>
      </c>
      <c r="D52" s="30"/>
      <c r="E52" s="30"/>
      <c r="F52" s="30">
        <v>1</v>
      </c>
      <c r="G52" s="30"/>
      <c r="H52" s="30"/>
      <c r="I52" s="30"/>
      <c r="J52" s="30"/>
      <c r="K52" s="30"/>
      <c r="L52" s="30"/>
      <c r="M52" s="30"/>
      <c r="N52" s="30"/>
      <c r="O52" s="30"/>
      <c r="P52" s="93">
        <f t="shared" si="0"/>
        <v>2</v>
      </c>
    </row>
    <row r="53" spans="1:16">
      <c r="A53" s="40" t="str">
        <f>"402510056"</f>
        <v>402510056</v>
      </c>
      <c r="B53" s="40" t="s">
        <v>1442</v>
      </c>
      <c r="C53" s="30">
        <v>1</v>
      </c>
      <c r="D53" s="30"/>
      <c r="E53" s="30"/>
      <c r="F53" s="30">
        <v>1</v>
      </c>
      <c r="G53" s="30"/>
      <c r="H53" s="30"/>
      <c r="I53" s="30"/>
      <c r="J53" s="30"/>
      <c r="K53" s="30"/>
      <c r="L53" s="30"/>
      <c r="M53" s="30"/>
      <c r="N53" s="30"/>
      <c r="O53" s="30"/>
      <c r="P53" s="93">
        <f t="shared" si="0"/>
        <v>2</v>
      </c>
    </row>
    <row r="54" spans="1:16">
      <c r="A54" s="40" t="str">
        <f>"402510057"</f>
        <v>402510057</v>
      </c>
      <c r="B54" s="40" t="s">
        <v>1395</v>
      </c>
      <c r="C54" s="30">
        <v>1</v>
      </c>
      <c r="D54" s="30"/>
      <c r="E54" s="30"/>
      <c r="F54" s="30">
        <v>1</v>
      </c>
      <c r="G54" s="30"/>
      <c r="H54" s="30"/>
      <c r="I54" s="30"/>
      <c r="J54" s="30"/>
      <c r="K54" s="30"/>
      <c r="L54" s="30"/>
      <c r="M54" s="30"/>
      <c r="N54" s="30"/>
      <c r="O54" s="30"/>
      <c r="P54" s="93">
        <f t="shared" si="0"/>
        <v>2</v>
      </c>
    </row>
    <row r="55" spans="1:16">
      <c r="A55" s="40" t="str">
        <f>"402510058"</f>
        <v>402510058</v>
      </c>
      <c r="B55" s="40" t="s">
        <v>1443</v>
      </c>
      <c r="C55" s="30">
        <v>1</v>
      </c>
      <c r="D55" s="30"/>
      <c r="E55" s="30"/>
      <c r="F55" s="30">
        <v>1</v>
      </c>
      <c r="G55" s="30"/>
      <c r="H55" s="30"/>
      <c r="I55" s="30"/>
      <c r="J55" s="30"/>
      <c r="K55" s="30"/>
      <c r="L55" s="30">
        <v>1</v>
      </c>
      <c r="M55" s="30"/>
      <c r="N55" s="30"/>
      <c r="O55" s="30"/>
      <c r="P55" s="93">
        <f t="shared" si="0"/>
        <v>3</v>
      </c>
    </row>
    <row r="56" spans="1:16">
      <c r="A56" s="40" t="str">
        <f>"402510059"</f>
        <v>402510059</v>
      </c>
      <c r="B56" s="40" t="s">
        <v>1396</v>
      </c>
      <c r="C56" s="30">
        <v>1</v>
      </c>
      <c r="D56" s="30"/>
      <c r="E56" s="30"/>
      <c r="F56" s="30">
        <v>1</v>
      </c>
      <c r="G56" s="30"/>
      <c r="H56" s="30"/>
      <c r="I56" s="30"/>
      <c r="J56" s="30"/>
      <c r="K56" s="30"/>
      <c r="L56" s="30"/>
      <c r="M56" s="30"/>
      <c r="N56" s="30"/>
      <c r="O56" s="30"/>
      <c r="P56" s="93">
        <f t="shared" si="0"/>
        <v>2</v>
      </c>
    </row>
    <row r="57" spans="1:16">
      <c r="A57" s="40" t="str">
        <f>"402510060"</f>
        <v>402510060</v>
      </c>
      <c r="B57" s="40" t="s">
        <v>1444</v>
      </c>
      <c r="C57" s="30">
        <v>1</v>
      </c>
      <c r="D57" s="30"/>
      <c r="E57" s="30"/>
      <c r="F57" s="30">
        <v>1</v>
      </c>
      <c r="G57" s="30"/>
      <c r="H57" s="30"/>
      <c r="I57" s="30"/>
      <c r="J57" s="30"/>
      <c r="K57" s="30"/>
      <c r="L57" s="30"/>
      <c r="M57" s="30"/>
      <c r="N57" s="30"/>
      <c r="O57" s="30"/>
      <c r="P57" s="93">
        <f t="shared" si="0"/>
        <v>2</v>
      </c>
    </row>
    <row r="58" spans="1:16">
      <c r="A58" s="40" t="str">
        <f>"402510061"</f>
        <v>402510061</v>
      </c>
      <c r="B58" s="40" t="s">
        <v>1397</v>
      </c>
      <c r="C58" s="30">
        <v>1</v>
      </c>
      <c r="D58" s="30"/>
      <c r="E58" s="30"/>
      <c r="F58" s="30">
        <v>1</v>
      </c>
      <c r="G58" s="30"/>
      <c r="H58" s="30"/>
      <c r="I58" s="30"/>
      <c r="J58" s="30"/>
      <c r="K58" s="30"/>
      <c r="L58" s="30"/>
      <c r="M58" s="30"/>
      <c r="N58" s="30"/>
      <c r="O58" s="30"/>
      <c r="P58" s="93">
        <f t="shared" si="0"/>
        <v>2</v>
      </c>
    </row>
    <row r="59" spans="1:16">
      <c r="A59" s="40" t="str">
        <f>"402510063"</f>
        <v>402510063</v>
      </c>
      <c r="B59" s="40" t="s">
        <v>1398</v>
      </c>
      <c r="C59" s="30">
        <v>1</v>
      </c>
      <c r="D59" s="30"/>
      <c r="E59" s="30"/>
      <c r="F59" s="30">
        <v>1</v>
      </c>
      <c r="G59" s="30"/>
      <c r="H59" s="30"/>
      <c r="I59" s="30"/>
      <c r="J59" s="30"/>
      <c r="K59" s="30"/>
      <c r="L59" s="30"/>
      <c r="M59" s="30"/>
      <c r="N59" s="30"/>
      <c r="O59" s="30"/>
      <c r="P59" s="93">
        <f t="shared" si="0"/>
        <v>2</v>
      </c>
    </row>
    <row r="60" spans="1:16">
      <c r="A60" s="40" t="str">
        <f>"402510064"</f>
        <v>402510064</v>
      </c>
      <c r="B60" s="40" t="s">
        <v>1445</v>
      </c>
      <c r="C60" s="30">
        <v>1</v>
      </c>
      <c r="D60" s="30"/>
      <c r="E60" s="30">
        <v>1</v>
      </c>
      <c r="F60" s="30">
        <v>1</v>
      </c>
      <c r="G60" s="30"/>
      <c r="H60" s="30"/>
      <c r="I60" s="30"/>
      <c r="J60" s="30"/>
      <c r="K60" s="30"/>
      <c r="L60" s="30"/>
      <c r="M60" s="30"/>
      <c r="N60" s="30"/>
      <c r="O60" s="30"/>
      <c r="P60" s="93">
        <f t="shared" si="0"/>
        <v>3</v>
      </c>
    </row>
    <row r="61" spans="1:16">
      <c r="A61" s="40" t="str">
        <f>"402510065"</f>
        <v>402510065</v>
      </c>
      <c r="B61" s="40" t="s">
        <v>1399</v>
      </c>
      <c r="C61" s="30">
        <v>1</v>
      </c>
      <c r="D61" s="30"/>
      <c r="E61" s="30"/>
      <c r="F61" s="30">
        <v>1</v>
      </c>
      <c r="G61" s="30"/>
      <c r="H61" s="30"/>
      <c r="I61" s="30"/>
      <c r="J61" s="30"/>
      <c r="K61" s="30"/>
      <c r="L61" s="30"/>
      <c r="M61" s="30"/>
      <c r="N61" s="30"/>
      <c r="O61" s="30"/>
      <c r="P61" s="93">
        <f t="shared" si="0"/>
        <v>2</v>
      </c>
    </row>
    <row r="62" spans="1:16">
      <c r="A62" s="40" t="str">
        <f>"402510066"</f>
        <v>402510066</v>
      </c>
      <c r="B62" s="40" t="s">
        <v>1446</v>
      </c>
      <c r="C62" s="30">
        <v>1</v>
      </c>
      <c r="D62" s="30">
        <v>1</v>
      </c>
      <c r="E62" s="30"/>
      <c r="F62" s="30">
        <v>1</v>
      </c>
      <c r="G62" s="30">
        <v>1</v>
      </c>
      <c r="H62" s="30"/>
      <c r="I62" s="30"/>
      <c r="J62" s="30"/>
      <c r="K62" s="30"/>
      <c r="L62" s="30"/>
      <c r="M62" s="30"/>
      <c r="N62" s="30"/>
      <c r="O62" s="30"/>
      <c r="P62" s="93">
        <f t="shared" si="0"/>
        <v>4</v>
      </c>
    </row>
    <row r="63" spans="1:16">
      <c r="A63" s="40" t="str">
        <f>"402510067"</f>
        <v>402510067</v>
      </c>
      <c r="B63" s="40" t="s">
        <v>1400</v>
      </c>
      <c r="C63" s="30">
        <v>1</v>
      </c>
      <c r="D63" s="30"/>
      <c r="E63" s="30"/>
      <c r="F63" s="30">
        <v>1</v>
      </c>
      <c r="G63" s="30"/>
      <c r="H63" s="30"/>
      <c r="I63" s="30"/>
      <c r="J63" s="30"/>
      <c r="K63" s="30"/>
      <c r="L63" s="30"/>
      <c r="M63" s="30"/>
      <c r="N63" s="30"/>
      <c r="O63" s="30"/>
      <c r="P63" s="93">
        <f t="shared" si="0"/>
        <v>2</v>
      </c>
    </row>
    <row r="64" spans="1:16">
      <c r="A64" s="40" t="str">
        <f>"402510068"</f>
        <v>402510068</v>
      </c>
      <c r="B64" s="40" t="s">
        <v>1447</v>
      </c>
      <c r="C64" s="30">
        <v>1</v>
      </c>
      <c r="D64" s="30"/>
      <c r="E64" s="30">
        <v>1</v>
      </c>
      <c r="F64" s="30">
        <v>1</v>
      </c>
      <c r="G64" s="30"/>
      <c r="H64" s="30"/>
      <c r="I64" s="30"/>
      <c r="J64" s="30"/>
      <c r="K64" s="30"/>
      <c r="L64" s="30"/>
      <c r="M64" s="30"/>
      <c r="N64" s="30"/>
      <c r="O64" s="30"/>
      <c r="P64" s="93">
        <f t="shared" si="0"/>
        <v>3</v>
      </c>
    </row>
    <row r="65" spans="1:16">
      <c r="A65" s="40" t="str">
        <f>"402510069"</f>
        <v>402510069</v>
      </c>
      <c r="B65" s="40" t="s">
        <v>1401</v>
      </c>
      <c r="C65" s="30">
        <v>1</v>
      </c>
      <c r="D65" s="30"/>
      <c r="E65" s="30"/>
      <c r="F65" s="30">
        <v>1</v>
      </c>
      <c r="G65" s="30"/>
      <c r="H65" s="30"/>
      <c r="I65" s="30"/>
      <c r="J65" s="30"/>
      <c r="K65" s="30"/>
      <c r="L65" s="30"/>
      <c r="M65" s="30"/>
      <c r="N65" s="30"/>
      <c r="O65" s="30"/>
      <c r="P65" s="93">
        <f t="shared" si="0"/>
        <v>2</v>
      </c>
    </row>
    <row r="66" spans="1:16">
      <c r="A66" s="40" t="str">
        <f>"402510070"</f>
        <v>402510070</v>
      </c>
      <c r="B66" s="40" t="s">
        <v>1448</v>
      </c>
      <c r="C66" s="30">
        <v>1</v>
      </c>
      <c r="D66" s="30"/>
      <c r="E66" s="30">
        <v>1</v>
      </c>
      <c r="F66" s="30">
        <v>1</v>
      </c>
      <c r="G66" s="30"/>
      <c r="H66" s="30"/>
      <c r="I66" s="30"/>
      <c r="J66" s="30"/>
      <c r="K66" s="30"/>
      <c r="L66" s="30"/>
      <c r="M66" s="30"/>
      <c r="N66" s="30"/>
      <c r="O66" s="30"/>
      <c r="P66" s="93">
        <f t="shared" si="0"/>
        <v>3</v>
      </c>
    </row>
    <row r="67" spans="1:16">
      <c r="A67" s="40" t="str">
        <f>"402510071"</f>
        <v>402510071</v>
      </c>
      <c r="B67" s="40" t="s">
        <v>1402</v>
      </c>
      <c r="C67" s="30">
        <v>1</v>
      </c>
      <c r="D67" s="30"/>
      <c r="E67" s="30"/>
      <c r="F67" s="30">
        <v>1</v>
      </c>
      <c r="G67" s="30"/>
      <c r="H67" s="30"/>
      <c r="I67" s="30"/>
      <c r="J67" s="30"/>
      <c r="K67" s="30"/>
      <c r="L67" s="30"/>
      <c r="M67" s="30"/>
      <c r="N67" s="30"/>
      <c r="O67" s="30"/>
      <c r="P67" s="93">
        <f t="shared" si="0"/>
        <v>2</v>
      </c>
    </row>
    <row r="68" spans="1:16">
      <c r="A68" s="40" t="str">
        <f>"402510072"</f>
        <v>402510072</v>
      </c>
      <c r="B68" s="40" t="s">
        <v>1449</v>
      </c>
      <c r="C68" s="30">
        <v>1</v>
      </c>
      <c r="D68" s="30">
        <v>1</v>
      </c>
      <c r="E68" s="30">
        <v>1</v>
      </c>
      <c r="F68" s="30">
        <v>1</v>
      </c>
      <c r="G68" s="30"/>
      <c r="H68" s="30"/>
      <c r="I68" s="30"/>
      <c r="J68" s="30"/>
      <c r="K68" s="30"/>
      <c r="L68" s="30"/>
      <c r="M68" s="30"/>
      <c r="N68" s="30"/>
      <c r="O68" s="30"/>
      <c r="P68" s="93">
        <f t="shared" ref="P68:P113" si="1">SUM(C68:O68)</f>
        <v>4</v>
      </c>
    </row>
    <row r="69" spans="1:16">
      <c r="A69" s="40" t="str">
        <f>"402510073"</f>
        <v>402510073</v>
      </c>
      <c r="B69" s="40" t="s">
        <v>1403</v>
      </c>
      <c r="C69" s="30">
        <v>1</v>
      </c>
      <c r="D69" s="30"/>
      <c r="E69" s="30"/>
      <c r="F69" s="30">
        <v>1</v>
      </c>
      <c r="G69" s="30"/>
      <c r="H69" s="30"/>
      <c r="I69" s="30"/>
      <c r="J69" s="30"/>
      <c r="K69" s="30"/>
      <c r="L69" s="30"/>
      <c r="M69" s="30"/>
      <c r="N69" s="30"/>
      <c r="O69" s="30"/>
      <c r="P69" s="93">
        <f t="shared" si="1"/>
        <v>2</v>
      </c>
    </row>
    <row r="70" spans="1:16">
      <c r="A70" s="40" t="str">
        <f>"402510074"</f>
        <v>402510074</v>
      </c>
      <c r="B70" s="40" t="s">
        <v>1450</v>
      </c>
      <c r="C70" s="30">
        <v>1</v>
      </c>
      <c r="D70" s="30"/>
      <c r="E70" s="30"/>
      <c r="F70" s="30">
        <v>1</v>
      </c>
      <c r="G70" s="30"/>
      <c r="H70" s="30"/>
      <c r="I70" s="30"/>
      <c r="J70" s="30"/>
      <c r="K70" s="30"/>
      <c r="L70" s="30"/>
      <c r="M70" s="30"/>
      <c r="N70" s="30"/>
      <c r="O70" s="30"/>
      <c r="P70" s="93">
        <f t="shared" si="1"/>
        <v>2</v>
      </c>
    </row>
    <row r="71" spans="1:16">
      <c r="A71" s="40" t="str">
        <f>"402510075"</f>
        <v>402510075</v>
      </c>
      <c r="B71" s="40" t="s">
        <v>1404</v>
      </c>
      <c r="C71" s="30">
        <v>1</v>
      </c>
      <c r="D71" s="30"/>
      <c r="E71" s="30">
        <v>1</v>
      </c>
      <c r="F71" s="30">
        <v>1</v>
      </c>
      <c r="G71" s="30"/>
      <c r="H71" s="30"/>
      <c r="I71" s="30"/>
      <c r="J71" s="30"/>
      <c r="K71" s="30"/>
      <c r="L71" s="30"/>
      <c r="M71" s="30"/>
      <c r="N71" s="30"/>
      <c r="O71" s="30"/>
      <c r="P71" s="93">
        <f t="shared" si="1"/>
        <v>3</v>
      </c>
    </row>
    <row r="72" spans="1:16">
      <c r="A72" s="40" t="str">
        <f>"402510076"</f>
        <v>402510076</v>
      </c>
      <c r="B72" s="40" t="s">
        <v>1451</v>
      </c>
      <c r="C72" s="30">
        <v>1</v>
      </c>
      <c r="D72" s="30"/>
      <c r="E72" s="30">
        <v>1</v>
      </c>
      <c r="F72" s="30">
        <v>1</v>
      </c>
      <c r="G72" s="30"/>
      <c r="H72" s="30">
        <v>1</v>
      </c>
      <c r="I72" s="30">
        <v>1</v>
      </c>
      <c r="J72" s="30"/>
      <c r="K72" s="30"/>
      <c r="L72" s="30"/>
      <c r="M72" s="30">
        <v>1</v>
      </c>
      <c r="N72" s="30"/>
      <c r="O72" s="30"/>
      <c r="P72" s="93">
        <f t="shared" si="1"/>
        <v>6</v>
      </c>
    </row>
    <row r="73" spans="1:16">
      <c r="A73" s="40" t="str">
        <f>"402510077"</f>
        <v>402510077</v>
      </c>
      <c r="B73" s="40" t="s">
        <v>1405</v>
      </c>
      <c r="C73" s="30">
        <v>1</v>
      </c>
      <c r="D73" s="30"/>
      <c r="E73" s="30"/>
      <c r="F73" s="30">
        <v>1</v>
      </c>
      <c r="G73" s="30"/>
      <c r="H73" s="30"/>
      <c r="I73" s="30"/>
      <c r="J73" s="30"/>
      <c r="K73" s="30"/>
      <c r="L73" s="30"/>
      <c r="M73" s="30"/>
      <c r="N73" s="30"/>
      <c r="O73" s="30"/>
      <c r="P73" s="93">
        <f t="shared" si="1"/>
        <v>2</v>
      </c>
    </row>
    <row r="74" spans="1:16">
      <c r="A74" s="40" t="str">
        <f>"402510078"</f>
        <v>402510078</v>
      </c>
      <c r="B74" s="40" t="s">
        <v>1452</v>
      </c>
      <c r="C74" s="30">
        <v>1</v>
      </c>
      <c r="D74" s="30"/>
      <c r="E74" s="30"/>
      <c r="F74" s="30">
        <v>1</v>
      </c>
      <c r="G74" s="30"/>
      <c r="H74" s="30"/>
      <c r="I74" s="30"/>
      <c r="J74" s="30"/>
      <c r="K74" s="30"/>
      <c r="L74" s="30"/>
      <c r="M74" s="30"/>
      <c r="N74" s="30"/>
      <c r="O74" s="30"/>
      <c r="P74" s="93">
        <f t="shared" si="1"/>
        <v>2</v>
      </c>
    </row>
    <row r="75" spans="1:16">
      <c r="A75" s="40" t="str">
        <f>"402510080"</f>
        <v>402510080</v>
      </c>
      <c r="B75" s="40" t="s">
        <v>1453</v>
      </c>
      <c r="C75" s="30">
        <v>1</v>
      </c>
      <c r="D75" s="30"/>
      <c r="E75" s="30">
        <v>1</v>
      </c>
      <c r="F75" s="30">
        <v>1</v>
      </c>
      <c r="G75" s="30">
        <v>1</v>
      </c>
      <c r="H75" s="30"/>
      <c r="I75" s="30"/>
      <c r="J75" s="30"/>
      <c r="K75" s="30"/>
      <c r="L75" s="30"/>
      <c r="M75" s="30"/>
      <c r="N75" s="30"/>
      <c r="O75" s="30"/>
      <c r="P75" s="93">
        <f t="shared" si="1"/>
        <v>4</v>
      </c>
    </row>
    <row r="76" spans="1:16">
      <c r="A76" s="40" t="str">
        <f>"402510082"</f>
        <v>402510082</v>
      </c>
      <c r="B76" s="40" t="s">
        <v>1454</v>
      </c>
      <c r="C76" s="30">
        <v>1</v>
      </c>
      <c r="D76" s="30"/>
      <c r="E76" s="30"/>
      <c r="F76" s="30">
        <v>1</v>
      </c>
      <c r="G76" s="30"/>
      <c r="H76" s="30"/>
      <c r="I76" s="30"/>
      <c r="J76" s="30"/>
      <c r="K76" s="30"/>
      <c r="L76" s="30"/>
      <c r="M76" s="30"/>
      <c r="N76" s="30"/>
      <c r="O76" s="30"/>
      <c r="P76" s="93">
        <f t="shared" si="1"/>
        <v>2</v>
      </c>
    </row>
    <row r="77" spans="1:16">
      <c r="A77" s="40" t="str">
        <f>"402510083"</f>
        <v>402510083</v>
      </c>
      <c r="B77" s="40" t="s">
        <v>1406</v>
      </c>
      <c r="C77" s="30">
        <v>1</v>
      </c>
      <c r="D77" s="30"/>
      <c r="E77" s="30"/>
      <c r="F77" s="30">
        <v>1</v>
      </c>
      <c r="G77" s="30"/>
      <c r="H77" s="30"/>
      <c r="I77" s="30"/>
      <c r="J77" s="30"/>
      <c r="K77" s="30"/>
      <c r="L77" s="30"/>
      <c r="M77" s="30"/>
      <c r="N77" s="30"/>
      <c r="O77" s="30"/>
      <c r="P77" s="93">
        <f t="shared" si="1"/>
        <v>2</v>
      </c>
    </row>
    <row r="78" spans="1:16">
      <c r="A78" s="40" t="str">
        <f>"402510084"</f>
        <v>402510084</v>
      </c>
      <c r="B78" s="40" t="s">
        <v>1455</v>
      </c>
      <c r="C78" s="30">
        <v>1</v>
      </c>
      <c r="D78" s="30"/>
      <c r="E78" s="30"/>
      <c r="F78" s="30">
        <v>1</v>
      </c>
      <c r="G78" s="30">
        <v>1</v>
      </c>
      <c r="H78" s="30"/>
      <c r="I78" s="30"/>
      <c r="J78" s="30"/>
      <c r="K78" s="30"/>
      <c r="L78" s="30"/>
      <c r="M78" s="30"/>
      <c r="N78" s="30"/>
      <c r="O78" s="30"/>
      <c r="P78" s="93">
        <f t="shared" si="1"/>
        <v>3</v>
      </c>
    </row>
    <row r="79" spans="1:16">
      <c r="A79" s="40" t="str">
        <f>"402510085"</f>
        <v>402510085</v>
      </c>
      <c r="B79" s="40" t="s">
        <v>1407</v>
      </c>
      <c r="C79" s="30">
        <v>1</v>
      </c>
      <c r="D79" s="30"/>
      <c r="E79" s="30"/>
      <c r="F79" s="30">
        <v>1</v>
      </c>
      <c r="G79" s="30"/>
      <c r="H79" s="30"/>
      <c r="I79" s="30"/>
      <c r="J79" s="30"/>
      <c r="K79" s="30"/>
      <c r="L79" s="30"/>
      <c r="M79" s="30"/>
      <c r="N79" s="30"/>
      <c r="O79" s="30"/>
      <c r="P79" s="93">
        <f t="shared" si="1"/>
        <v>2</v>
      </c>
    </row>
    <row r="80" spans="1:16">
      <c r="A80" s="40" t="str">
        <f>"402510086"</f>
        <v>402510086</v>
      </c>
      <c r="B80" s="40" t="s">
        <v>1456</v>
      </c>
      <c r="C80" s="30">
        <v>1</v>
      </c>
      <c r="D80" s="30"/>
      <c r="E80" s="30">
        <v>1</v>
      </c>
      <c r="F80" s="30">
        <v>1</v>
      </c>
      <c r="G80" s="30"/>
      <c r="H80" s="30"/>
      <c r="I80" s="30"/>
      <c r="J80" s="30"/>
      <c r="K80" s="30"/>
      <c r="L80" s="30"/>
      <c r="M80" s="30"/>
      <c r="N80" s="30"/>
      <c r="O80" s="30"/>
      <c r="P80" s="93">
        <f t="shared" si="1"/>
        <v>3</v>
      </c>
    </row>
    <row r="81" spans="1:16">
      <c r="A81" s="40" t="str">
        <f>"402510087"</f>
        <v>402510087</v>
      </c>
      <c r="B81" s="40" t="s">
        <v>1408</v>
      </c>
      <c r="C81" s="30">
        <v>1</v>
      </c>
      <c r="D81" s="30"/>
      <c r="E81" s="30"/>
      <c r="F81" s="30">
        <v>1</v>
      </c>
      <c r="G81" s="30"/>
      <c r="H81" s="30"/>
      <c r="I81" s="30"/>
      <c r="J81" s="30"/>
      <c r="K81" s="30"/>
      <c r="L81" s="30"/>
      <c r="M81" s="30"/>
      <c r="N81" s="30"/>
      <c r="O81" s="30"/>
      <c r="P81" s="93">
        <f t="shared" si="1"/>
        <v>2</v>
      </c>
    </row>
    <row r="82" spans="1:16">
      <c r="A82" s="40" t="str">
        <f>"402510088"</f>
        <v>402510088</v>
      </c>
      <c r="B82" s="40" t="s">
        <v>1457</v>
      </c>
      <c r="C82" s="30">
        <v>1</v>
      </c>
      <c r="D82" s="30"/>
      <c r="E82" s="30"/>
      <c r="F82" s="30">
        <v>1</v>
      </c>
      <c r="G82" s="30"/>
      <c r="H82" s="30"/>
      <c r="I82" s="30"/>
      <c r="J82" s="30"/>
      <c r="K82" s="30"/>
      <c r="L82" s="30"/>
      <c r="M82" s="30"/>
      <c r="N82" s="30"/>
      <c r="O82" s="30"/>
      <c r="P82" s="93">
        <f t="shared" si="1"/>
        <v>2</v>
      </c>
    </row>
    <row r="83" spans="1:16">
      <c r="A83" s="40" t="str">
        <f>"402510089"</f>
        <v>402510089</v>
      </c>
      <c r="B83" s="40" t="s">
        <v>1409</v>
      </c>
      <c r="C83" s="30">
        <v>1</v>
      </c>
      <c r="D83" s="30"/>
      <c r="E83" s="30"/>
      <c r="F83" s="30">
        <v>1</v>
      </c>
      <c r="G83" s="30"/>
      <c r="H83" s="30"/>
      <c r="I83" s="30"/>
      <c r="J83" s="30"/>
      <c r="K83" s="30"/>
      <c r="L83" s="30"/>
      <c r="M83" s="30"/>
      <c r="N83" s="30"/>
      <c r="O83" s="30"/>
      <c r="P83" s="93">
        <f t="shared" si="1"/>
        <v>2</v>
      </c>
    </row>
    <row r="84" spans="1:16">
      <c r="A84" s="40" t="str">
        <f>"402510090"</f>
        <v>402510090</v>
      </c>
      <c r="B84" s="40" t="s">
        <v>1458</v>
      </c>
      <c r="C84" s="30">
        <v>1</v>
      </c>
      <c r="D84" s="30"/>
      <c r="E84" s="30">
        <v>1</v>
      </c>
      <c r="F84" s="30">
        <v>1</v>
      </c>
      <c r="G84" s="30"/>
      <c r="H84" s="30"/>
      <c r="I84" s="30"/>
      <c r="J84" s="30"/>
      <c r="K84" s="30"/>
      <c r="L84" s="30"/>
      <c r="M84" s="30"/>
      <c r="N84" s="30"/>
      <c r="O84" s="30"/>
      <c r="P84" s="93">
        <f t="shared" si="1"/>
        <v>3</v>
      </c>
    </row>
    <row r="85" spans="1:16">
      <c r="A85" s="40" t="str">
        <f>"402510091"</f>
        <v>402510091</v>
      </c>
      <c r="B85" s="40" t="s">
        <v>1410</v>
      </c>
      <c r="C85" s="30">
        <v>1</v>
      </c>
      <c r="D85" s="30"/>
      <c r="E85" s="30"/>
      <c r="F85" s="30">
        <v>1</v>
      </c>
      <c r="G85" s="30"/>
      <c r="H85" s="30"/>
      <c r="I85" s="30"/>
      <c r="J85" s="30"/>
      <c r="K85" s="30"/>
      <c r="L85" s="30"/>
      <c r="M85" s="30"/>
      <c r="N85" s="30"/>
      <c r="O85" s="30"/>
      <c r="P85" s="93">
        <f t="shared" si="1"/>
        <v>2</v>
      </c>
    </row>
    <row r="86" spans="1:16">
      <c r="A86" s="40" t="str">
        <f>"402510092"</f>
        <v>402510092</v>
      </c>
      <c r="B86" s="40" t="s">
        <v>1459</v>
      </c>
      <c r="C86" s="30">
        <v>1</v>
      </c>
      <c r="D86" s="30"/>
      <c r="E86" s="30">
        <v>1</v>
      </c>
      <c r="F86" s="30">
        <v>1</v>
      </c>
      <c r="G86" s="30"/>
      <c r="H86" s="30"/>
      <c r="I86" s="30"/>
      <c r="J86" s="30"/>
      <c r="K86" s="30"/>
      <c r="L86" s="30"/>
      <c r="M86" s="30"/>
      <c r="N86" s="30"/>
      <c r="O86" s="30"/>
      <c r="P86" s="93">
        <f t="shared" si="1"/>
        <v>3</v>
      </c>
    </row>
    <row r="87" spans="1:16">
      <c r="A87" s="40" t="str">
        <f>"402510093"</f>
        <v>402510093</v>
      </c>
      <c r="B87" s="40" t="s">
        <v>1411</v>
      </c>
      <c r="C87" s="30">
        <v>1</v>
      </c>
      <c r="D87" s="30"/>
      <c r="E87" s="30"/>
      <c r="F87" s="30">
        <v>1</v>
      </c>
      <c r="G87" s="30"/>
      <c r="H87" s="30"/>
      <c r="I87" s="30"/>
      <c r="J87" s="30"/>
      <c r="K87" s="30"/>
      <c r="L87" s="30"/>
      <c r="M87" s="30"/>
      <c r="N87" s="30"/>
      <c r="O87" s="30"/>
      <c r="P87" s="93">
        <f t="shared" si="1"/>
        <v>2</v>
      </c>
    </row>
    <row r="88" spans="1:16">
      <c r="A88" s="40" t="str">
        <f>"402510094"</f>
        <v>402510094</v>
      </c>
      <c r="B88" s="40" t="s">
        <v>1460</v>
      </c>
      <c r="C88" s="30">
        <v>1</v>
      </c>
      <c r="D88" s="30"/>
      <c r="E88" s="30">
        <v>1</v>
      </c>
      <c r="F88" s="30">
        <v>1</v>
      </c>
      <c r="G88" s="30"/>
      <c r="H88" s="30"/>
      <c r="I88" s="30"/>
      <c r="J88" s="30"/>
      <c r="K88" s="30"/>
      <c r="L88" s="30"/>
      <c r="M88" s="30"/>
      <c r="N88" s="30"/>
      <c r="O88" s="30"/>
      <c r="P88" s="93">
        <f t="shared" si="1"/>
        <v>3</v>
      </c>
    </row>
    <row r="89" spans="1:16">
      <c r="A89" s="40" t="str">
        <f>"402510095"</f>
        <v>402510095</v>
      </c>
      <c r="B89" s="40" t="s">
        <v>1412</v>
      </c>
      <c r="C89" s="30">
        <v>1</v>
      </c>
      <c r="D89" s="30"/>
      <c r="E89" s="30"/>
      <c r="F89" s="30">
        <v>1</v>
      </c>
      <c r="G89" s="30"/>
      <c r="H89" s="30"/>
      <c r="I89" s="30"/>
      <c r="J89" s="30"/>
      <c r="K89" s="30"/>
      <c r="L89" s="30"/>
      <c r="M89" s="30"/>
      <c r="N89" s="30"/>
      <c r="O89" s="30"/>
      <c r="P89" s="93">
        <f t="shared" si="1"/>
        <v>2</v>
      </c>
    </row>
    <row r="90" spans="1:16">
      <c r="A90" s="40" t="str">
        <f>"402510096"</f>
        <v>402510096</v>
      </c>
      <c r="B90" s="40" t="s">
        <v>1461</v>
      </c>
      <c r="C90" s="30">
        <v>1</v>
      </c>
      <c r="D90" s="30"/>
      <c r="E90" s="30"/>
      <c r="F90" s="30">
        <v>1</v>
      </c>
      <c r="G90" s="30"/>
      <c r="H90" s="30"/>
      <c r="I90" s="30"/>
      <c r="J90" s="30"/>
      <c r="K90" s="30"/>
      <c r="L90" s="30"/>
      <c r="M90" s="30"/>
      <c r="N90" s="30"/>
      <c r="O90" s="30"/>
      <c r="P90" s="93">
        <f t="shared" si="1"/>
        <v>2</v>
      </c>
    </row>
    <row r="91" spans="1:16">
      <c r="A91" s="40" t="str">
        <f>"402510097"</f>
        <v>402510097</v>
      </c>
      <c r="B91" s="40" t="s">
        <v>1413</v>
      </c>
      <c r="C91" s="30">
        <v>1</v>
      </c>
      <c r="D91" s="30"/>
      <c r="E91" s="30"/>
      <c r="F91" s="30">
        <v>1</v>
      </c>
      <c r="G91" s="30"/>
      <c r="H91" s="30"/>
      <c r="I91" s="30"/>
      <c r="J91" s="30"/>
      <c r="K91" s="30"/>
      <c r="L91" s="30"/>
      <c r="M91" s="30"/>
      <c r="N91" s="30"/>
      <c r="O91" s="30"/>
      <c r="P91" s="93">
        <f t="shared" si="1"/>
        <v>2</v>
      </c>
    </row>
    <row r="92" spans="1:16">
      <c r="A92" s="40" t="str">
        <f>"402510098"</f>
        <v>402510098</v>
      </c>
      <c r="B92" s="40" t="s">
        <v>1462</v>
      </c>
      <c r="C92" s="30">
        <v>1</v>
      </c>
      <c r="D92" s="30"/>
      <c r="E92" s="30"/>
      <c r="F92" s="30">
        <v>1</v>
      </c>
      <c r="G92" s="30"/>
      <c r="H92" s="30"/>
      <c r="I92" s="30"/>
      <c r="J92" s="30"/>
      <c r="K92" s="30"/>
      <c r="L92" s="30"/>
      <c r="M92" s="30"/>
      <c r="N92" s="30"/>
      <c r="O92" s="30"/>
      <c r="P92" s="93">
        <f t="shared" si="1"/>
        <v>2</v>
      </c>
    </row>
    <row r="93" spans="1:16">
      <c r="A93" s="40" t="str">
        <f>"402510099"</f>
        <v>402510099</v>
      </c>
      <c r="B93" s="40" t="s">
        <v>1414</v>
      </c>
      <c r="C93" s="30">
        <v>1</v>
      </c>
      <c r="D93" s="30"/>
      <c r="E93" s="30"/>
      <c r="F93" s="30">
        <v>1</v>
      </c>
      <c r="G93" s="30"/>
      <c r="H93" s="30"/>
      <c r="I93" s="30"/>
      <c r="J93" s="30"/>
      <c r="K93" s="30"/>
      <c r="L93" s="30"/>
      <c r="M93" s="30"/>
      <c r="N93" s="30"/>
      <c r="O93" s="30"/>
      <c r="P93" s="93">
        <f t="shared" si="1"/>
        <v>2</v>
      </c>
    </row>
    <row r="94" spans="1:16">
      <c r="A94" s="40" t="str">
        <f>"402510100"</f>
        <v>402510100</v>
      </c>
      <c r="B94" s="40" t="s">
        <v>1463</v>
      </c>
      <c r="C94" s="30">
        <v>1</v>
      </c>
      <c r="D94" s="30"/>
      <c r="E94" s="30"/>
      <c r="F94" s="30">
        <v>1</v>
      </c>
      <c r="G94" s="30"/>
      <c r="H94" s="30"/>
      <c r="I94" s="30"/>
      <c r="J94" s="30"/>
      <c r="K94" s="30"/>
      <c r="L94" s="30"/>
      <c r="M94" s="30"/>
      <c r="N94" s="30"/>
      <c r="O94" s="30"/>
      <c r="P94" s="93">
        <f t="shared" si="1"/>
        <v>2</v>
      </c>
    </row>
    <row r="95" spans="1:16">
      <c r="A95" s="40" t="str">
        <f>"402510101"</f>
        <v>402510101</v>
      </c>
      <c r="B95" s="40" t="s">
        <v>1415</v>
      </c>
      <c r="C95" s="30">
        <v>1</v>
      </c>
      <c r="D95" s="30"/>
      <c r="E95" s="30"/>
      <c r="F95" s="30">
        <v>1</v>
      </c>
      <c r="G95" s="30">
        <v>1</v>
      </c>
      <c r="H95" s="30"/>
      <c r="I95" s="30"/>
      <c r="J95" s="30"/>
      <c r="K95" s="30"/>
      <c r="L95" s="30"/>
      <c r="M95" s="30"/>
      <c r="N95" s="30"/>
      <c r="O95" s="30"/>
      <c r="P95" s="93">
        <f t="shared" si="1"/>
        <v>3</v>
      </c>
    </row>
    <row r="96" spans="1:16">
      <c r="A96" s="40" t="str">
        <f>"402510102"</f>
        <v>402510102</v>
      </c>
      <c r="B96" s="40" t="s">
        <v>1464</v>
      </c>
      <c r="C96" s="30">
        <v>1</v>
      </c>
      <c r="D96" s="30"/>
      <c r="E96" s="30">
        <v>1</v>
      </c>
      <c r="F96" s="30">
        <v>1</v>
      </c>
      <c r="G96" s="30"/>
      <c r="H96" s="30"/>
      <c r="I96" s="30"/>
      <c r="J96" s="30"/>
      <c r="K96" s="30"/>
      <c r="L96" s="30">
        <v>1</v>
      </c>
      <c r="M96" s="30"/>
      <c r="N96" s="30"/>
      <c r="O96" s="30"/>
      <c r="P96" s="93">
        <f t="shared" si="1"/>
        <v>4</v>
      </c>
    </row>
    <row r="97" spans="1:16">
      <c r="A97" s="40" t="str">
        <f>"402510103"</f>
        <v>402510103</v>
      </c>
      <c r="B97" s="40" t="s">
        <v>124</v>
      </c>
      <c r="C97" s="30">
        <v>1</v>
      </c>
      <c r="D97" s="30"/>
      <c r="E97" s="30"/>
      <c r="F97" s="30">
        <v>1</v>
      </c>
      <c r="G97" s="30"/>
      <c r="H97" s="30"/>
      <c r="I97" s="30"/>
      <c r="J97" s="30"/>
      <c r="K97" s="30"/>
      <c r="L97" s="30"/>
      <c r="M97" s="30"/>
      <c r="N97" s="30"/>
      <c r="O97" s="30"/>
      <c r="P97" s="93">
        <f t="shared" si="1"/>
        <v>2</v>
      </c>
    </row>
    <row r="98" spans="1:16">
      <c r="A98" s="40" t="str">
        <f>"402510104"</f>
        <v>402510104</v>
      </c>
      <c r="B98" s="40" t="s">
        <v>1465</v>
      </c>
      <c r="C98" s="30">
        <v>1</v>
      </c>
      <c r="D98" s="30"/>
      <c r="E98" s="30">
        <v>1</v>
      </c>
      <c r="F98" s="30">
        <v>1</v>
      </c>
      <c r="G98" s="30"/>
      <c r="H98" s="30"/>
      <c r="I98" s="30"/>
      <c r="J98" s="30"/>
      <c r="K98" s="30"/>
      <c r="L98" s="30"/>
      <c r="M98" s="30"/>
      <c r="N98" s="30"/>
      <c r="O98" s="30"/>
      <c r="P98" s="93">
        <f t="shared" si="1"/>
        <v>3</v>
      </c>
    </row>
    <row r="99" spans="1:16">
      <c r="A99" s="40" t="str">
        <f>"402510105"</f>
        <v>402510105</v>
      </c>
      <c r="B99" s="40" t="s">
        <v>1416</v>
      </c>
      <c r="C99" s="30">
        <v>1</v>
      </c>
      <c r="D99" s="30"/>
      <c r="E99" s="30"/>
      <c r="F99" s="30">
        <v>1</v>
      </c>
      <c r="G99" s="30"/>
      <c r="H99" s="30"/>
      <c r="I99" s="30"/>
      <c r="J99" s="30"/>
      <c r="K99" s="30"/>
      <c r="L99" s="30"/>
      <c r="M99" s="30"/>
      <c r="N99" s="30"/>
      <c r="O99" s="30"/>
      <c r="P99" s="93">
        <f t="shared" si="1"/>
        <v>2</v>
      </c>
    </row>
    <row r="100" spans="1:16">
      <c r="A100" s="40" t="str">
        <f>"402510106"</f>
        <v>402510106</v>
      </c>
      <c r="B100" s="40" t="s">
        <v>1466</v>
      </c>
      <c r="C100" s="30">
        <v>1</v>
      </c>
      <c r="D100" s="30">
        <v>1</v>
      </c>
      <c r="E100" s="30"/>
      <c r="F100" s="30">
        <v>1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93">
        <f t="shared" si="1"/>
        <v>3</v>
      </c>
    </row>
    <row r="101" spans="1:16">
      <c r="A101" s="40" t="str">
        <f>"402510107"</f>
        <v>402510107</v>
      </c>
      <c r="B101" s="40" t="s">
        <v>1417</v>
      </c>
      <c r="C101" s="30">
        <v>1</v>
      </c>
      <c r="D101" s="30"/>
      <c r="E101" s="30"/>
      <c r="F101" s="30">
        <v>1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93">
        <f t="shared" si="1"/>
        <v>2</v>
      </c>
    </row>
    <row r="102" spans="1:16">
      <c r="A102" s="40" t="str">
        <f>"402510108"</f>
        <v>402510108</v>
      </c>
      <c r="B102" s="40" t="s">
        <v>1467</v>
      </c>
      <c r="C102" s="30">
        <v>1</v>
      </c>
      <c r="D102" s="30"/>
      <c r="E102" s="30"/>
      <c r="F102" s="30">
        <v>1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93">
        <f t="shared" si="1"/>
        <v>2</v>
      </c>
    </row>
    <row r="103" spans="1:16">
      <c r="A103" s="40" t="str">
        <f>"402510109"</f>
        <v>402510109</v>
      </c>
      <c r="B103" s="40" t="s">
        <v>1418</v>
      </c>
      <c r="C103" s="30">
        <v>1</v>
      </c>
      <c r="D103" s="30"/>
      <c r="E103" s="30"/>
      <c r="F103" s="30">
        <v>1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93">
        <f t="shared" si="1"/>
        <v>2</v>
      </c>
    </row>
    <row r="104" spans="1:16">
      <c r="A104" s="65">
        <v>402510110</v>
      </c>
      <c r="B104" s="40" t="s">
        <v>1468</v>
      </c>
      <c r="C104" s="30">
        <v>1</v>
      </c>
      <c r="D104" s="30"/>
      <c r="E104" s="30">
        <v>1</v>
      </c>
      <c r="F104" s="30">
        <v>1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93">
        <f t="shared" si="1"/>
        <v>3</v>
      </c>
    </row>
    <row r="105" spans="1:16">
      <c r="A105" s="65">
        <v>402511111</v>
      </c>
      <c r="B105" s="30" t="s">
        <v>1492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>
        <v>1</v>
      </c>
      <c r="M105" s="30"/>
      <c r="N105" s="30"/>
      <c r="O105" s="30"/>
      <c r="P105" s="93">
        <f t="shared" si="1"/>
        <v>1</v>
      </c>
    </row>
    <row r="106" spans="1:16">
      <c r="A106" s="65">
        <v>402511112</v>
      </c>
      <c r="B106" s="30" t="s">
        <v>1493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>
        <v>1</v>
      </c>
      <c r="N106" s="30"/>
      <c r="O106" s="30"/>
      <c r="P106" s="93">
        <f t="shared" si="1"/>
        <v>1</v>
      </c>
    </row>
    <row r="107" spans="1:16">
      <c r="A107" s="65">
        <v>402511113</v>
      </c>
      <c r="B107" s="30" t="s">
        <v>1494</v>
      </c>
      <c r="C107" s="30"/>
      <c r="D107" s="30"/>
      <c r="E107" s="30"/>
      <c r="F107" s="30"/>
      <c r="G107" s="30"/>
      <c r="H107" s="30">
        <v>1</v>
      </c>
      <c r="I107" s="30"/>
      <c r="J107" s="30"/>
      <c r="K107" s="30"/>
      <c r="L107" s="30"/>
      <c r="M107" s="30"/>
      <c r="N107" s="30"/>
      <c r="O107" s="30"/>
      <c r="P107" s="93">
        <f t="shared" si="1"/>
        <v>1</v>
      </c>
    </row>
    <row r="108" spans="1:16">
      <c r="A108" s="65">
        <v>402511114</v>
      </c>
      <c r="B108" s="30" t="s">
        <v>1495</v>
      </c>
      <c r="C108" s="30"/>
      <c r="D108" s="30"/>
      <c r="E108" s="30"/>
      <c r="F108" s="30"/>
      <c r="G108" s="30"/>
      <c r="H108" s="30">
        <v>1</v>
      </c>
      <c r="I108" s="30"/>
      <c r="J108" s="30"/>
      <c r="K108" s="30"/>
      <c r="L108" s="30"/>
      <c r="M108" s="30"/>
      <c r="N108" s="30"/>
      <c r="O108" s="30"/>
      <c r="P108" s="93">
        <f t="shared" si="1"/>
        <v>1</v>
      </c>
    </row>
    <row r="109" spans="1:16">
      <c r="A109" s="89">
        <v>402510115</v>
      </c>
      <c r="B109" s="89" t="s">
        <v>1512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93">
        <f t="shared" si="1"/>
        <v>0</v>
      </c>
    </row>
    <row r="110" spans="1:16">
      <c r="A110" s="89">
        <v>402510116</v>
      </c>
      <c r="B110" s="89" t="s">
        <v>1513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>
        <v>1</v>
      </c>
      <c r="M110" s="30">
        <v>1</v>
      </c>
      <c r="N110" s="30"/>
      <c r="O110" s="30"/>
      <c r="P110" s="93">
        <f t="shared" si="1"/>
        <v>2</v>
      </c>
    </row>
    <row r="111" spans="1:16">
      <c r="A111" s="89">
        <v>402510117</v>
      </c>
      <c r="B111" s="89" t="s">
        <v>1514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93">
        <f t="shared" si="1"/>
        <v>0</v>
      </c>
    </row>
    <row r="112" spans="1:16">
      <c r="A112" s="89">
        <v>402510119</v>
      </c>
      <c r="B112" s="89" t="s">
        <v>1515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93">
        <f t="shared" si="1"/>
        <v>0</v>
      </c>
    </row>
    <row r="113" spans="1:16">
      <c r="A113" s="89">
        <v>402510120</v>
      </c>
      <c r="B113" s="89" t="s">
        <v>1516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93">
        <f t="shared" si="1"/>
        <v>0</v>
      </c>
    </row>
    <row r="114" spans="1:16">
      <c r="A114" s="90"/>
      <c r="B114" s="90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93"/>
    </row>
    <row r="115" spans="1:16">
      <c r="A115" s="76"/>
      <c r="B115"/>
    </row>
    <row r="116" spans="1:16">
      <c r="A116" s="76"/>
      <c r="B116"/>
      <c r="H116" t="s">
        <v>1496</v>
      </c>
      <c r="I116" s="84">
        <f>MEDIAN(P3:P113)</f>
        <v>2</v>
      </c>
      <c r="P116" s="84"/>
    </row>
    <row r="117" spans="1:16">
      <c r="A117" s="76"/>
      <c r="B117"/>
    </row>
    <row r="118" spans="1:16">
      <c r="A118" s="4" t="s">
        <v>1505</v>
      </c>
      <c r="B118" s="87"/>
      <c r="C118" s="2"/>
      <c r="D118" s="2"/>
      <c r="E118" s="2"/>
      <c r="F118" s="2"/>
      <c r="G118" s="2"/>
    </row>
    <row r="119" spans="1:16">
      <c r="A119" s="4" t="s">
        <v>1506</v>
      </c>
      <c r="B119" s="87"/>
      <c r="C119" s="2"/>
      <c r="D119" s="2"/>
      <c r="E119" s="2"/>
      <c r="F119" s="2"/>
      <c r="G119" s="2"/>
    </row>
    <row r="120" spans="1:16">
      <c r="A120" s="4" t="s">
        <v>1507</v>
      </c>
      <c r="B120" s="87"/>
      <c r="C120" s="2"/>
      <c r="D120" s="2"/>
      <c r="E120" s="2"/>
      <c r="F120" s="2"/>
      <c r="G120" s="2"/>
    </row>
    <row r="121" spans="1:16">
      <c r="A121" s="88" t="s">
        <v>1508</v>
      </c>
      <c r="B121" s="87"/>
      <c r="C121" s="2"/>
      <c r="D121" s="2"/>
      <c r="E121" s="2"/>
      <c r="F121" s="2"/>
      <c r="G121" s="2"/>
    </row>
    <row r="122" spans="1:16">
      <c r="A122" s="88" t="s">
        <v>1509</v>
      </c>
      <c r="B122" s="4"/>
      <c r="C122" s="2"/>
      <c r="D122" s="2"/>
      <c r="E122" s="2"/>
      <c r="F122" s="2"/>
      <c r="G122" s="2"/>
    </row>
    <row r="123" spans="1:16">
      <c r="A123" s="129" t="s">
        <v>1518</v>
      </c>
      <c r="B123" s="129"/>
      <c r="C123" s="129"/>
      <c r="D123" s="129"/>
      <c r="E123" s="129"/>
      <c r="F123" s="129"/>
      <c r="G123" s="129"/>
    </row>
    <row r="124" spans="1:16">
      <c r="A124" s="129" t="s">
        <v>1519</v>
      </c>
      <c r="B124" s="129"/>
      <c r="C124" s="129"/>
      <c r="D124" s="129"/>
      <c r="E124" s="129"/>
      <c r="F124" s="129"/>
      <c r="G124" s="129"/>
    </row>
    <row r="125" spans="1:16">
      <c r="A125" s="88" t="s">
        <v>1510</v>
      </c>
      <c r="B125" s="4"/>
      <c r="C125" s="2"/>
      <c r="D125" s="2"/>
      <c r="E125" s="2"/>
      <c r="F125" s="2"/>
      <c r="G125" s="2"/>
    </row>
    <row r="126" spans="1:16">
      <c r="A126" s="4" t="s">
        <v>1520</v>
      </c>
      <c r="B126" s="4"/>
      <c r="C126" s="2"/>
      <c r="D126" s="2"/>
      <c r="E126" s="2"/>
      <c r="F126" s="2"/>
      <c r="G126" s="2"/>
    </row>
    <row r="127" spans="1:16">
      <c r="A127" s="4" t="s">
        <v>1511</v>
      </c>
      <c r="B127" s="4"/>
      <c r="C127" s="2"/>
      <c r="D127" s="2"/>
      <c r="E127" s="2"/>
      <c r="F127" s="2"/>
      <c r="G127" s="2"/>
    </row>
    <row r="128" spans="1:16">
      <c r="A128" s="39" t="s">
        <v>1521</v>
      </c>
    </row>
    <row r="130" spans="1:11">
      <c r="A130" s="39" t="s">
        <v>1524</v>
      </c>
      <c r="C130" s="39"/>
      <c r="D130" s="39"/>
      <c r="K130" s="91"/>
    </row>
  </sheetData>
  <mergeCells count="2">
    <mergeCell ref="A123:G123"/>
    <mergeCell ref="A124:G12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94" workbookViewId="0">
      <selection activeCell="B99" sqref="B99"/>
    </sheetView>
  </sheetViews>
  <sheetFormatPr defaultRowHeight="16.2"/>
  <cols>
    <col min="1" max="1" width="10.44140625" style="39" bestFit="1" customWidth="1"/>
    <col min="2" max="2" width="9" style="39"/>
  </cols>
  <sheetData>
    <row r="1" spans="1:17">
      <c r="A1" s="1" t="s">
        <v>700</v>
      </c>
      <c r="B1" s="2"/>
      <c r="C1" s="42">
        <f>MAX(M3:M107)</f>
        <v>4</v>
      </c>
      <c r="D1" s="2"/>
      <c r="E1" s="2"/>
      <c r="F1" s="2"/>
      <c r="G1" s="45"/>
      <c r="H1" s="2"/>
      <c r="I1" s="2"/>
      <c r="J1" s="2"/>
      <c r="K1" s="2"/>
      <c r="L1" s="2"/>
      <c r="M1" s="2"/>
    </row>
    <row r="2" spans="1:17">
      <c r="A2" s="27" t="s">
        <v>646</v>
      </c>
      <c r="B2" s="27" t="s">
        <v>661</v>
      </c>
      <c r="C2" s="21" t="s">
        <v>148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8" t="s">
        <v>143</v>
      </c>
      <c r="N2" s="7"/>
      <c r="O2" s="7"/>
      <c r="P2" s="7"/>
      <c r="Q2" s="7"/>
    </row>
    <row r="3" spans="1:17">
      <c r="A3" s="40" t="str">
        <f>"401510001"</f>
        <v>401510001</v>
      </c>
      <c r="B3" s="40" t="s">
        <v>1225</v>
      </c>
      <c r="C3" s="30">
        <v>1</v>
      </c>
      <c r="D3" s="30"/>
      <c r="E3" s="30"/>
      <c r="F3" s="30"/>
      <c r="G3" s="30"/>
      <c r="H3" s="30"/>
      <c r="I3" s="30"/>
      <c r="J3" s="30"/>
      <c r="K3" s="30"/>
      <c r="L3" s="30"/>
      <c r="M3" s="30">
        <f>SUM(C3:L3)</f>
        <v>1</v>
      </c>
    </row>
    <row r="4" spans="1:17">
      <c r="A4" s="40" t="str">
        <f>"401510002"</f>
        <v>401510002</v>
      </c>
      <c r="B4" s="40" t="s">
        <v>1262</v>
      </c>
      <c r="C4" s="30">
        <v>1</v>
      </c>
      <c r="D4" s="30"/>
      <c r="E4" s="30"/>
      <c r="F4" s="30"/>
      <c r="G4" s="30"/>
      <c r="H4" s="30"/>
      <c r="I4" s="30"/>
      <c r="J4" s="30"/>
      <c r="K4" s="30"/>
      <c r="L4" s="30"/>
      <c r="M4" s="30">
        <f t="shared" ref="M4:M67" si="0">SUM(C4:L4)</f>
        <v>1</v>
      </c>
    </row>
    <row r="5" spans="1:17">
      <c r="A5" s="40" t="str">
        <f>"401510003"</f>
        <v>401510003</v>
      </c>
      <c r="B5" s="40" t="s">
        <v>1226</v>
      </c>
      <c r="C5" s="30">
        <v>1</v>
      </c>
      <c r="D5" s="30"/>
      <c r="E5" s="30"/>
      <c r="F5" s="30"/>
      <c r="G5" s="30"/>
      <c r="H5" s="30"/>
      <c r="I5" s="30"/>
      <c r="J5" s="30"/>
      <c r="K5" s="30"/>
      <c r="L5" s="30">
        <v>1</v>
      </c>
      <c r="M5" s="30">
        <f t="shared" si="0"/>
        <v>2</v>
      </c>
    </row>
    <row r="6" spans="1:17">
      <c r="A6" s="40" t="str">
        <f>"401510005"</f>
        <v>401510005</v>
      </c>
      <c r="B6" s="40" t="s">
        <v>1337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>
        <f t="shared" si="0"/>
        <v>0</v>
      </c>
    </row>
    <row r="7" spans="1:17">
      <c r="A7" s="40" t="str">
        <f>"401510006"</f>
        <v>401510006</v>
      </c>
      <c r="B7" s="40" t="s">
        <v>1263</v>
      </c>
      <c r="C7" s="30">
        <v>1</v>
      </c>
      <c r="D7" s="30"/>
      <c r="E7" s="30">
        <v>1</v>
      </c>
      <c r="F7" s="30"/>
      <c r="G7" s="30"/>
      <c r="H7" s="30">
        <v>1</v>
      </c>
      <c r="I7" s="30">
        <v>1</v>
      </c>
      <c r="J7" s="30"/>
      <c r="K7" s="30"/>
      <c r="L7" s="30"/>
      <c r="M7" s="30">
        <f t="shared" si="0"/>
        <v>4</v>
      </c>
    </row>
    <row r="8" spans="1:17">
      <c r="A8" s="40" t="str">
        <f>"401510007"</f>
        <v>401510007</v>
      </c>
      <c r="B8" s="40" t="s">
        <v>1227</v>
      </c>
      <c r="C8" s="30">
        <v>1</v>
      </c>
      <c r="D8" s="30"/>
      <c r="E8" s="30"/>
      <c r="F8" s="30"/>
      <c r="G8" s="30"/>
      <c r="H8" s="30">
        <v>1</v>
      </c>
      <c r="I8" s="30">
        <v>1</v>
      </c>
      <c r="J8" s="30"/>
      <c r="K8" s="30"/>
      <c r="L8" s="30"/>
      <c r="M8" s="30">
        <f t="shared" si="0"/>
        <v>3</v>
      </c>
    </row>
    <row r="9" spans="1:17">
      <c r="A9" s="40" t="str">
        <f>"401510008"</f>
        <v>401510008</v>
      </c>
      <c r="B9" s="40" t="s">
        <v>1264</v>
      </c>
      <c r="C9" s="30">
        <v>1</v>
      </c>
      <c r="D9" s="30">
        <v>1</v>
      </c>
      <c r="E9" s="30"/>
      <c r="F9" s="30"/>
      <c r="G9" s="30"/>
      <c r="H9" s="30">
        <v>1</v>
      </c>
      <c r="I9" s="30"/>
      <c r="J9" s="30"/>
      <c r="K9" s="30"/>
      <c r="L9" s="30"/>
      <c r="M9" s="30">
        <f t="shared" si="0"/>
        <v>3</v>
      </c>
    </row>
    <row r="10" spans="1:17">
      <c r="A10" s="40" t="str">
        <f>"401510009"</f>
        <v>401510009</v>
      </c>
      <c r="B10" s="40" t="s">
        <v>1228</v>
      </c>
      <c r="C10" s="30">
        <v>1</v>
      </c>
      <c r="D10" s="30"/>
      <c r="E10" s="30"/>
      <c r="F10" s="30"/>
      <c r="G10" s="30"/>
      <c r="H10" s="30"/>
      <c r="I10" s="30"/>
      <c r="J10" s="30">
        <v>1</v>
      </c>
      <c r="K10" s="30"/>
      <c r="L10" s="30"/>
      <c r="M10" s="30">
        <f t="shared" si="0"/>
        <v>2</v>
      </c>
    </row>
    <row r="11" spans="1:17">
      <c r="A11" s="40" t="str">
        <f>"401510010"</f>
        <v>401510010</v>
      </c>
      <c r="B11" s="40" t="s">
        <v>1265</v>
      </c>
      <c r="C11" s="30">
        <v>1</v>
      </c>
      <c r="D11" s="30"/>
      <c r="E11" s="30"/>
      <c r="F11" s="30"/>
      <c r="G11" s="30"/>
      <c r="H11" s="30">
        <v>1</v>
      </c>
      <c r="I11" s="30"/>
      <c r="J11" s="30"/>
      <c r="K11" s="30"/>
      <c r="L11" s="30"/>
      <c r="M11" s="30">
        <f t="shared" si="0"/>
        <v>2</v>
      </c>
    </row>
    <row r="12" spans="1:17">
      <c r="A12" s="40" t="str">
        <f>"401510011"</f>
        <v>401510011</v>
      </c>
      <c r="B12" s="40" t="s">
        <v>1229</v>
      </c>
      <c r="C12" s="30">
        <v>1</v>
      </c>
      <c r="D12" s="30"/>
      <c r="E12" s="30"/>
      <c r="F12" s="30">
        <v>1</v>
      </c>
      <c r="G12" s="30"/>
      <c r="H12" s="30"/>
      <c r="I12" s="30"/>
      <c r="J12" s="30"/>
      <c r="K12" s="30"/>
      <c r="L12" s="30">
        <v>1</v>
      </c>
      <c r="M12" s="30">
        <f t="shared" si="0"/>
        <v>3</v>
      </c>
    </row>
    <row r="13" spans="1:17">
      <c r="A13" s="40" t="str">
        <f>"401510012"</f>
        <v>401510012</v>
      </c>
      <c r="B13" s="40" t="s">
        <v>1266</v>
      </c>
      <c r="C13" s="30">
        <v>1</v>
      </c>
      <c r="D13" s="30"/>
      <c r="E13" s="30"/>
      <c r="F13" s="30"/>
      <c r="G13" s="30"/>
      <c r="H13" s="30"/>
      <c r="I13" s="30"/>
      <c r="J13" s="30"/>
      <c r="K13" s="30"/>
      <c r="L13" s="30"/>
      <c r="M13" s="30">
        <f t="shared" si="0"/>
        <v>1</v>
      </c>
    </row>
    <row r="14" spans="1:17">
      <c r="A14" s="40" t="str">
        <f>"401510013"</f>
        <v>401510013</v>
      </c>
      <c r="B14" s="40" t="s">
        <v>1230</v>
      </c>
      <c r="C14" s="30">
        <v>1</v>
      </c>
      <c r="D14" s="30"/>
      <c r="E14" s="30"/>
      <c r="F14" s="30"/>
      <c r="G14" s="30"/>
      <c r="H14" s="30"/>
      <c r="I14" s="30"/>
      <c r="J14" s="30"/>
      <c r="K14" s="30"/>
      <c r="L14" s="30"/>
      <c r="M14" s="30">
        <f t="shared" si="0"/>
        <v>1</v>
      </c>
    </row>
    <row r="15" spans="1:17">
      <c r="A15" s="40" t="str">
        <f>"401510014"</f>
        <v>401510014</v>
      </c>
      <c r="B15" s="40" t="s">
        <v>1335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>
        <f t="shared" si="0"/>
        <v>0</v>
      </c>
    </row>
    <row r="16" spans="1:17">
      <c r="A16" s="40" t="str">
        <f>"401510015"</f>
        <v>401510015</v>
      </c>
      <c r="B16" s="40" t="s">
        <v>1336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>
        <f t="shared" si="0"/>
        <v>0</v>
      </c>
    </row>
    <row r="17" spans="1:13">
      <c r="A17" s="40" t="str">
        <f>"401510016"</f>
        <v>401510016</v>
      </c>
      <c r="B17" s="40" t="s">
        <v>1267</v>
      </c>
      <c r="C17" s="30">
        <v>1</v>
      </c>
      <c r="D17" s="30"/>
      <c r="E17" s="30"/>
      <c r="F17" s="30"/>
      <c r="G17" s="30"/>
      <c r="H17" s="30">
        <v>1</v>
      </c>
      <c r="I17" s="30"/>
      <c r="J17" s="30"/>
      <c r="K17" s="30"/>
      <c r="L17" s="30"/>
      <c r="M17" s="30">
        <f t="shared" si="0"/>
        <v>2</v>
      </c>
    </row>
    <row r="18" spans="1:13">
      <c r="A18" s="40" t="str">
        <f>"401510017"</f>
        <v>401510017</v>
      </c>
      <c r="B18" s="40" t="s">
        <v>1231</v>
      </c>
      <c r="C18" s="30">
        <v>1</v>
      </c>
      <c r="D18" s="30"/>
      <c r="E18" s="30"/>
      <c r="F18" s="30"/>
      <c r="G18" s="30"/>
      <c r="H18" s="30"/>
      <c r="I18" s="30">
        <v>1</v>
      </c>
      <c r="J18" s="30"/>
      <c r="K18" s="30"/>
      <c r="L18" s="30"/>
      <c r="M18" s="30">
        <f t="shared" si="0"/>
        <v>2</v>
      </c>
    </row>
    <row r="19" spans="1:13">
      <c r="A19" s="40" t="str">
        <f>"401510018"</f>
        <v>401510018</v>
      </c>
      <c r="B19" s="40" t="s">
        <v>1268</v>
      </c>
      <c r="C19" s="30">
        <v>1</v>
      </c>
      <c r="D19" s="30"/>
      <c r="E19" s="30"/>
      <c r="F19" s="30"/>
      <c r="G19" s="30"/>
      <c r="H19" s="30"/>
      <c r="I19" s="30"/>
      <c r="J19" s="30"/>
      <c r="K19" s="30"/>
      <c r="L19" s="30"/>
      <c r="M19" s="30">
        <f t="shared" si="0"/>
        <v>1</v>
      </c>
    </row>
    <row r="20" spans="1:13">
      <c r="A20" s="40" t="str">
        <f>"401510019"</f>
        <v>401510019</v>
      </c>
      <c r="B20" s="40" t="s">
        <v>1232</v>
      </c>
      <c r="C20" s="30">
        <v>1</v>
      </c>
      <c r="D20" s="30"/>
      <c r="E20" s="30">
        <v>1</v>
      </c>
      <c r="F20" s="30"/>
      <c r="G20" s="30"/>
      <c r="H20" s="30"/>
      <c r="I20" s="30"/>
      <c r="J20" s="30"/>
      <c r="K20" s="30"/>
      <c r="L20" s="30"/>
      <c r="M20" s="30">
        <f t="shared" si="0"/>
        <v>2</v>
      </c>
    </row>
    <row r="21" spans="1:13">
      <c r="A21" s="40" t="str">
        <f>"401510020"</f>
        <v>401510020</v>
      </c>
      <c r="B21" s="40" t="s">
        <v>1269</v>
      </c>
      <c r="C21" s="30">
        <v>1</v>
      </c>
      <c r="D21" s="30"/>
      <c r="E21" s="30"/>
      <c r="F21" s="30"/>
      <c r="G21" s="30"/>
      <c r="H21" s="30"/>
      <c r="I21" s="30"/>
      <c r="J21" s="30"/>
      <c r="K21" s="30"/>
      <c r="L21" s="30"/>
      <c r="M21" s="30">
        <f t="shared" si="0"/>
        <v>1</v>
      </c>
    </row>
    <row r="22" spans="1:13">
      <c r="A22" s="40" t="str">
        <f>"401510021"</f>
        <v>401510021</v>
      </c>
      <c r="B22" s="40" t="s">
        <v>1233</v>
      </c>
      <c r="C22" s="30">
        <v>1</v>
      </c>
      <c r="D22" s="30"/>
      <c r="E22" s="30"/>
      <c r="F22" s="30"/>
      <c r="G22" s="30"/>
      <c r="H22" s="30">
        <v>1</v>
      </c>
      <c r="I22" s="30"/>
      <c r="J22" s="30"/>
      <c r="K22" s="30"/>
      <c r="L22" s="30"/>
      <c r="M22" s="30">
        <f t="shared" si="0"/>
        <v>2</v>
      </c>
    </row>
    <row r="23" spans="1:13">
      <c r="A23" s="40" t="str">
        <f>"401510022"</f>
        <v>401510022</v>
      </c>
      <c r="B23" s="40" t="s">
        <v>1270</v>
      </c>
      <c r="C23" s="30">
        <v>1</v>
      </c>
      <c r="D23" s="30"/>
      <c r="E23" s="30"/>
      <c r="F23" s="30"/>
      <c r="G23" s="30"/>
      <c r="H23" s="30">
        <v>1</v>
      </c>
      <c r="I23" s="30"/>
      <c r="J23" s="30"/>
      <c r="K23" s="30"/>
      <c r="L23" s="30"/>
      <c r="M23" s="30">
        <f t="shared" si="0"/>
        <v>2</v>
      </c>
    </row>
    <row r="24" spans="1:13">
      <c r="A24" s="40" t="str">
        <f>"401510023"</f>
        <v>401510023</v>
      </c>
      <c r="B24" s="40" t="s">
        <v>1234</v>
      </c>
      <c r="C24" s="30">
        <v>1</v>
      </c>
      <c r="D24" s="30"/>
      <c r="E24" s="30"/>
      <c r="F24" s="30"/>
      <c r="G24" s="30"/>
      <c r="H24" s="30">
        <v>1</v>
      </c>
      <c r="I24" s="30"/>
      <c r="J24" s="30"/>
      <c r="K24" s="30"/>
      <c r="L24" s="30"/>
      <c r="M24" s="30">
        <f t="shared" si="0"/>
        <v>2</v>
      </c>
    </row>
    <row r="25" spans="1:13">
      <c r="A25" s="40" t="str">
        <f>"401510024"</f>
        <v>401510024</v>
      </c>
      <c r="B25" s="40" t="s">
        <v>1316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>
        <f t="shared" si="0"/>
        <v>0</v>
      </c>
    </row>
    <row r="26" spans="1:13">
      <c r="A26" s="40" t="str">
        <f>"401510025"</f>
        <v>401510025</v>
      </c>
      <c r="B26" s="40" t="s">
        <v>1235</v>
      </c>
      <c r="C26" s="30">
        <v>1</v>
      </c>
      <c r="D26" s="30"/>
      <c r="E26" s="30"/>
      <c r="F26" s="30"/>
      <c r="G26" s="30"/>
      <c r="H26" s="30">
        <v>1</v>
      </c>
      <c r="I26" s="30"/>
      <c r="J26" s="30"/>
      <c r="K26" s="30"/>
      <c r="L26" s="30"/>
      <c r="M26" s="30">
        <f t="shared" si="0"/>
        <v>2</v>
      </c>
    </row>
    <row r="27" spans="1:13">
      <c r="A27" s="40" t="str">
        <f>"401510026"</f>
        <v>401510026</v>
      </c>
      <c r="B27" s="40" t="s">
        <v>1317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>
        <f t="shared" si="0"/>
        <v>0</v>
      </c>
    </row>
    <row r="28" spans="1:13">
      <c r="A28" s="40" t="str">
        <f>"401510027"</f>
        <v>401510027</v>
      </c>
      <c r="B28" s="40" t="s">
        <v>1318</v>
      </c>
      <c r="C28" s="30">
        <v>1</v>
      </c>
      <c r="D28" s="30"/>
      <c r="E28" s="30">
        <v>1</v>
      </c>
      <c r="F28" s="30"/>
      <c r="G28" s="30"/>
      <c r="H28" s="30"/>
      <c r="I28" s="30"/>
      <c r="J28" s="30"/>
      <c r="K28" s="30"/>
      <c r="L28" s="30"/>
      <c r="M28" s="30">
        <f t="shared" si="0"/>
        <v>2</v>
      </c>
    </row>
    <row r="29" spans="1:13">
      <c r="A29" s="40" t="str">
        <f>"401510028"</f>
        <v>401510028</v>
      </c>
      <c r="B29" s="40" t="s">
        <v>1319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>
        <f t="shared" si="0"/>
        <v>0</v>
      </c>
    </row>
    <row r="30" spans="1:13">
      <c r="A30" s="40" t="str">
        <f>"401510029"</f>
        <v>401510029</v>
      </c>
      <c r="B30" s="40" t="s">
        <v>1320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>
        <f t="shared" si="0"/>
        <v>0</v>
      </c>
    </row>
    <row r="31" spans="1:13">
      <c r="A31" s="40" t="str">
        <f>"401510030"</f>
        <v>401510030</v>
      </c>
      <c r="B31" s="40" t="s">
        <v>1271</v>
      </c>
      <c r="C31" s="30">
        <v>1</v>
      </c>
      <c r="D31" s="30"/>
      <c r="E31" s="30"/>
      <c r="F31" s="30"/>
      <c r="G31" s="30"/>
      <c r="H31" s="30"/>
      <c r="I31" s="30"/>
      <c r="J31" s="30"/>
      <c r="K31" s="30"/>
      <c r="L31" s="30"/>
      <c r="M31" s="30">
        <f t="shared" si="0"/>
        <v>1</v>
      </c>
    </row>
    <row r="32" spans="1:13">
      <c r="A32" s="40" t="str">
        <f>"401510031"</f>
        <v>401510031</v>
      </c>
      <c r="B32" s="40" t="s">
        <v>1236</v>
      </c>
      <c r="C32" s="30">
        <v>1</v>
      </c>
      <c r="D32" s="30"/>
      <c r="E32" s="30"/>
      <c r="F32" s="30"/>
      <c r="G32" s="30"/>
      <c r="H32" s="30"/>
      <c r="I32" s="30"/>
      <c r="J32" s="30"/>
      <c r="K32" s="30"/>
      <c r="L32" s="30"/>
      <c r="M32" s="30">
        <f t="shared" si="0"/>
        <v>1</v>
      </c>
    </row>
    <row r="33" spans="1:13">
      <c r="A33" s="40" t="str">
        <f>"401510032"</f>
        <v>401510032</v>
      </c>
      <c r="B33" s="40" t="s">
        <v>1321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>
        <f t="shared" si="0"/>
        <v>0</v>
      </c>
    </row>
    <row r="34" spans="1:13">
      <c r="A34" s="40" t="str">
        <f>"401510033"</f>
        <v>401510033</v>
      </c>
      <c r="B34" s="40" t="s">
        <v>1237</v>
      </c>
      <c r="C34" s="30">
        <v>1</v>
      </c>
      <c r="D34" s="30"/>
      <c r="E34" s="30"/>
      <c r="F34" s="30"/>
      <c r="G34" s="30"/>
      <c r="H34" s="30">
        <v>1</v>
      </c>
      <c r="I34" s="30"/>
      <c r="J34" s="30"/>
      <c r="K34" s="30"/>
      <c r="L34" s="30"/>
      <c r="M34" s="30">
        <f t="shared" si="0"/>
        <v>2</v>
      </c>
    </row>
    <row r="35" spans="1:13">
      <c r="A35" s="40" t="str">
        <f>"401510034"</f>
        <v>401510034</v>
      </c>
      <c r="B35" s="40" t="s">
        <v>1322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>
        <f t="shared" si="0"/>
        <v>0</v>
      </c>
    </row>
    <row r="36" spans="1:13">
      <c r="A36" s="40" t="str">
        <f>"401510035"</f>
        <v>401510035</v>
      </c>
      <c r="B36" s="40" t="s">
        <v>1238</v>
      </c>
      <c r="C36" s="30">
        <v>1</v>
      </c>
      <c r="D36" s="30"/>
      <c r="E36" s="30"/>
      <c r="F36" s="30"/>
      <c r="G36" s="30"/>
      <c r="H36" s="30"/>
      <c r="I36" s="30"/>
      <c r="J36" s="30"/>
      <c r="K36" s="30"/>
      <c r="L36" s="30"/>
      <c r="M36" s="30">
        <f t="shared" si="0"/>
        <v>1</v>
      </c>
    </row>
    <row r="37" spans="1:13">
      <c r="A37" s="40" t="str">
        <f>"401510036"</f>
        <v>401510036</v>
      </c>
      <c r="B37" s="40" t="s">
        <v>1272</v>
      </c>
      <c r="C37" s="30">
        <v>1</v>
      </c>
      <c r="D37" s="30"/>
      <c r="E37" s="30"/>
      <c r="F37" s="30"/>
      <c r="G37" s="30"/>
      <c r="H37" s="30"/>
      <c r="I37" s="30"/>
      <c r="J37" s="30"/>
      <c r="K37" s="30"/>
      <c r="L37" s="30"/>
      <c r="M37" s="30">
        <f t="shared" si="0"/>
        <v>1</v>
      </c>
    </row>
    <row r="38" spans="1:13">
      <c r="A38" s="40" t="str">
        <f>"401510037"</f>
        <v>401510037</v>
      </c>
      <c r="B38" s="40" t="s">
        <v>1323</v>
      </c>
      <c r="C38" s="30"/>
      <c r="D38" s="30"/>
      <c r="E38" s="30"/>
      <c r="F38" s="30"/>
      <c r="G38" s="30"/>
      <c r="H38" s="30">
        <v>1</v>
      </c>
      <c r="I38" s="30"/>
      <c r="J38" s="30"/>
      <c r="K38" s="30"/>
      <c r="L38" s="30"/>
      <c r="M38" s="30">
        <f t="shared" si="0"/>
        <v>1</v>
      </c>
    </row>
    <row r="39" spans="1:13">
      <c r="A39" s="40" t="str">
        <f>"401510038"</f>
        <v>401510038</v>
      </c>
      <c r="B39" s="40" t="s">
        <v>1273</v>
      </c>
      <c r="C39" s="30">
        <v>1</v>
      </c>
      <c r="D39" s="30"/>
      <c r="E39" s="30"/>
      <c r="F39" s="30"/>
      <c r="G39" s="30"/>
      <c r="H39" s="30"/>
      <c r="I39" s="30"/>
      <c r="J39" s="30"/>
      <c r="K39" s="30"/>
      <c r="L39" s="30"/>
      <c r="M39" s="30">
        <f t="shared" si="0"/>
        <v>1</v>
      </c>
    </row>
    <row r="40" spans="1:13">
      <c r="A40" s="40" t="str">
        <f>"401510039"</f>
        <v>401510039</v>
      </c>
      <c r="B40" s="40" t="s">
        <v>1239</v>
      </c>
      <c r="C40" s="30" t="s">
        <v>1123</v>
      </c>
      <c r="D40" s="30"/>
      <c r="E40" s="30"/>
      <c r="F40" s="30"/>
      <c r="G40" s="30"/>
      <c r="H40" s="30"/>
      <c r="I40" s="30"/>
      <c r="J40" s="30"/>
      <c r="K40" s="30"/>
      <c r="L40" s="30"/>
      <c r="M40" s="30">
        <f t="shared" si="0"/>
        <v>0</v>
      </c>
    </row>
    <row r="41" spans="1:13">
      <c r="A41" s="40" t="str">
        <f>"401510040"</f>
        <v>401510040</v>
      </c>
      <c r="B41" s="40" t="s">
        <v>1274</v>
      </c>
      <c r="C41" s="30">
        <v>1</v>
      </c>
      <c r="D41" s="30"/>
      <c r="E41" s="30"/>
      <c r="F41" s="30"/>
      <c r="G41" s="30"/>
      <c r="H41" s="30">
        <v>1</v>
      </c>
      <c r="I41" s="30"/>
      <c r="J41" s="30"/>
      <c r="K41" s="30"/>
      <c r="L41" s="30"/>
      <c r="M41" s="30">
        <f t="shared" si="0"/>
        <v>2</v>
      </c>
    </row>
    <row r="42" spans="1:13">
      <c r="A42" s="40" t="str">
        <f>"401510041"</f>
        <v>401510041</v>
      </c>
      <c r="B42" s="40" t="s">
        <v>1240</v>
      </c>
      <c r="C42" s="30">
        <v>1</v>
      </c>
      <c r="D42" s="30"/>
      <c r="E42" s="30">
        <v>1</v>
      </c>
      <c r="F42" s="30"/>
      <c r="G42" s="30"/>
      <c r="H42" s="30"/>
      <c r="I42" s="30"/>
      <c r="J42" s="30"/>
      <c r="K42" s="30"/>
      <c r="L42" s="30"/>
      <c r="M42" s="30">
        <f t="shared" si="0"/>
        <v>2</v>
      </c>
    </row>
    <row r="43" spans="1:13">
      <c r="A43" s="40" t="str">
        <f>"401510042"</f>
        <v>401510042</v>
      </c>
      <c r="B43" s="40" t="s">
        <v>1275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>
        <f t="shared" si="0"/>
        <v>0</v>
      </c>
    </row>
    <row r="44" spans="1:13">
      <c r="A44" s="40" t="str">
        <f>"401510043"</f>
        <v>401510043</v>
      </c>
      <c r="B44" s="40" t="s">
        <v>1241</v>
      </c>
      <c r="C44" s="30">
        <v>1</v>
      </c>
      <c r="D44" s="30"/>
      <c r="E44" s="30"/>
      <c r="F44" s="30"/>
      <c r="G44" s="30"/>
      <c r="H44" s="30">
        <v>1</v>
      </c>
      <c r="I44" s="30"/>
      <c r="J44" s="30"/>
      <c r="K44" s="30"/>
      <c r="L44" s="30"/>
      <c r="M44" s="30">
        <f t="shared" si="0"/>
        <v>2</v>
      </c>
    </row>
    <row r="45" spans="1:13">
      <c r="A45" s="40" t="str">
        <f>"401510044"</f>
        <v>401510044</v>
      </c>
      <c r="B45" s="40" t="s">
        <v>1276</v>
      </c>
      <c r="C45" s="30">
        <v>1</v>
      </c>
      <c r="D45" s="30"/>
      <c r="E45" s="30"/>
      <c r="F45" s="30"/>
      <c r="G45" s="30"/>
      <c r="H45" s="30">
        <v>1</v>
      </c>
      <c r="I45" s="30"/>
      <c r="J45" s="30"/>
      <c r="K45" s="30"/>
      <c r="L45" s="30"/>
      <c r="M45" s="30">
        <f t="shared" si="0"/>
        <v>2</v>
      </c>
    </row>
    <row r="46" spans="1:13">
      <c r="A46" s="60" t="str">
        <f>"401510045"</f>
        <v>401510045</v>
      </c>
      <c r="B46" s="60" t="s">
        <v>1242</v>
      </c>
      <c r="C46" s="30">
        <v>1</v>
      </c>
      <c r="D46" s="30"/>
      <c r="E46" s="30"/>
      <c r="F46" s="30"/>
      <c r="G46" s="30"/>
      <c r="H46" s="30"/>
      <c r="I46" s="30"/>
      <c r="J46" s="30"/>
      <c r="K46" s="30"/>
      <c r="L46" s="30"/>
      <c r="M46" s="30">
        <f t="shared" si="0"/>
        <v>1</v>
      </c>
    </row>
    <row r="47" spans="1:13">
      <c r="A47" s="40" t="str">
        <f>"401510048"</f>
        <v>401510048</v>
      </c>
      <c r="B47" s="40" t="s">
        <v>1277</v>
      </c>
      <c r="C47" s="30">
        <v>1</v>
      </c>
      <c r="D47" s="30"/>
      <c r="E47" s="30"/>
      <c r="F47" s="30"/>
      <c r="G47" s="30"/>
      <c r="H47" s="30"/>
      <c r="I47" s="30"/>
      <c r="J47" s="30"/>
      <c r="K47" s="30"/>
      <c r="L47" s="30"/>
      <c r="M47" s="30">
        <f t="shared" si="0"/>
        <v>1</v>
      </c>
    </row>
    <row r="48" spans="1:13">
      <c r="A48" s="40" t="str">
        <f>"401510049"</f>
        <v>401510049</v>
      </c>
      <c r="B48" s="40" t="s">
        <v>1243</v>
      </c>
      <c r="C48" s="30">
        <v>1</v>
      </c>
      <c r="D48" s="30"/>
      <c r="E48" s="30"/>
      <c r="F48" s="30"/>
      <c r="G48" s="30"/>
      <c r="H48" s="30">
        <v>1</v>
      </c>
      <c r="I48" s="30"/>
      <c r="J48" s="30"/>
      <c r="K48" s="30"/>
      <c r="L48" s="30"/>
      <c r="M48" s="30">
        <f t="shared" si="0"/>
        <v>2</v>
      </c>
    </row>
    <row r="49" spans="1:13">
      <c r="A49" s="40" t="str">
        <f>"401510050"</f>
        <v>401510050</v>
      </c>
      <c r="B49" s="40" t="s">
        <v>1278</v>
      </c>
      <c r="C49" s="30">
        <v>1</v>
      </c>
      <c r="D49" s="30"/>
      <c r="E49" s="30"/>
      <c r="F49" s="30"/>
      <c r="G49" s="30"/>
      <c r="H49" s="30"/>
      <c r="I49" s="30"/>
      <c r="J49" s="30"/>
      <c r="K49" s="30"/>
      <c r="L49" s="30"/>
      <c r="M49" s="30">
        <f t="shared" si="0"/>
        <v>1</v>
      </c>
    </row>
    <row r="50" spans="1:13">
      <c r="A50" s="40" t="str">
        <f>"401510052"</f>
        <v>401510052</v>
      </c>
      <c r="B50" s="40" t="s">
        <v>1324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>
        <f t="shared" si="0"/>
        <v>0</v>
      </c>
    </row>
    <row r="51" spans="1:13">
      <c r="A51" s="40" t="str">
        <f>"401510053"</f>
        <v>401510053</v>
      </c>
      <c r="B51" s="40" t="s">
        <v>1325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>
        <f t="shared" si="0"/>
        <v>0</v>
      </c>
    </row>
    <row r="52" spans="1:13">
      <c r="A52" s="40" t="str">
        <f>"401510055"</f>
        <v>401510055</v>
      </c>
      <c r="B52" s="40" t="s">
        <v>1244</v>
      </c>
      <c r="C52" s="30">
        <v>1</v>
      </c>
      <c r="D52" s="30"/>
      <c r="E52" s="30"/>
      <c r="F52" s="30"/>
      <c r="G52" s="30"/>
      <c r="H52" s="30"/>
      <c r="I52" s="30"/>
      <c r="J52" s="30"/>
      <c r="K52" s="30"/>
      <c r="L52" s="30"/>
      <c r="M52" s="30">
        <f t="shared" si="0"/>
        <v>1</v>
      </c>
    </row>
    <row r="53" spans="1:13">
      <c r="A53" s="40" t="str">
        <f>"401510056"</f>
        <v>401510056</v>
      </c>
      <c r="B53" s="40" t="s">
        <v>1279</v>
      </c>
      <c r="C53" s="30">
        <v>1</v>
      </c>
      <c r="D53" s="30"/>
      <c r="E53" s="30"/>
      <c r="F53" s="30"/>
      <c r="G53" s="30"/>
      <c r="H53" s="30">
        <v>1</v>
      </c>
      <c r="I53" s="30"/>
      <c r="J53" s="30"/>
      <c r="K53" s="30"/>
      <c r="L53" s="30"/>
      <c r="M53" s="30">
        <f t="shared" si="0"/>
        <v>2</v>
      </c>
    </row>
    <row r="54" spans="1:13">
      <c r="A54" s="40" t="str">
        <f>"401510057"</f>
        <v>401510057</v>
      </c>
      <c r="B54" s="40" t="s">
        <v>1245</v>
      </c>
      <c r="C54" s="30">
        <v>1</v>
      </c>
      <c r="D54" s="30"/>
      <c r="E54" s="30"/>
      <c r="F54" s="30"/>
      <c r="G54" s="30"/>
      <c r="H54" s="30"/>
      <c r="I54" s="30"/>
      <c r="J54" s="30"/>
      <c r="K54" s="30"/>
      <c r="L54" s="30"/>
      <c r="M54" s="30">
        <f t="shared" si="0"/>
        <v>1</v>
      </c>
    </row>
    <row r="55" spans="1:13">
      <c r="A55" s="40" t="str">
        <f>"401510058"</f>
        <v>401510058</v>
      </c>
      <c r="B55" s="40" t="s">
        <v>1280</v>
      </c>
      <c r="C55" s="30">
        <v>1</v>
      </c>
      <c r="D55" s="30"/>
      <c r="E55" s="30"/>
      <c r="F55" s="30"/>
      <c r="G55" s="30"/>
      <c r="H55" s="30">
        <v>1</v>
      </c>
      <c r="I55" s="30"/>
      <c r="J55" s="30"/>
      <c r="K55" s="30"/>
      <c r="L55" s="30"/>
      <c r="M55" s="30">
        <f t="shared" si="0"/>
        <v>2</v>
      </c>
    </row>
    <row r="56" spans="1:13">
      <c r="A56" s="40" t="str">
        <f>"401510059"</f>
        <v>401510059</v>
      </c>
      <c r="B56" s="40" t="s">
        <v>1326</v>
      </c>
      <c r="C56" s="30"/>
      <c r="D56" s="30"/>
      <c r="E56" s="30"/>
      <c r="F56" s="30"/>
      <c r="G56" s="30"/>
      <c r="H56" s="30">
        <v>1</v>
      </c>
      <c r="I56" s="30"/>
      <c r="J56" s="30"/>
      <c r="K56" s="30"/>
      <c r="L56" s="30"/>
      <c r="M56" s="30">
        <f t="shared" si="0"/>
        <v>1</v>
      </c>
    </row>
    <row r="57" spans="1:13">
      <c r="A57" s="40" t="str">
        <f>"401510060"</f>
        <v>401510060</v>
      </c>
      <c r="B57" s="40" t="s">
        <v>1281</v>
      </c>
      <c r="C57" s="30">
        <v>1</v>
      </c>
      <c r="D57" s="30"/>
      <c r="E57" s="30"/>
      <c r="F57" s="30"/>
      <c r="G57" s="30"/>
      <c r="H57" s="30"/>
      <c r="I57" s="30"/>
      <c r="J57" s="30"/>
      <c r="K57" s="30"/>
      <c r="L57" s="30"/>
      <c r="M57" s="30">
        <f t="shared" si="0"/>
        <v>1</v>
      </c>
    </row>
    <row r="58" spans="1:13">
      <c r="A58" s="40" t="str">
        <f>"401510061"</f>
        <v>401510061</v>
      </c>
      <c r="B58" s="40" t="s">
        <v>1246</v>
      </c>
      <c r="C58" s="30">
        <v>1</v>
      </c>
      <c r="D58" s="30"/>
      <c r="E58" s="30"/>
      <c r="F58" s="30"/>
      <c r="G58" s="30"/>
      <c r="H58" s="30"/>
      <c r="I58" s="30"/>
      <c r="J58" s="30"/>
      <c r="K58" s="30"/>
      <c r="L58" s="30"/>
      <c r="M58" s="30">
        <f t="shared" si="0"/>
        <v>1</v>
      </c>
    </row>
    <row r="59" spans="1:13">
      <c r="A59" s="40" t="str">
        <f>"401510062"</f>
        <v>401510062</v>
      </c>
      <c r="B59" s="40" t="s">
        <v>1282</v>
      </c>
      <c r="C59" s="30">
        <v>1</v>
      </c>
      <c r="D59" s="30"/>
      <c r="E59" s="30"/>
      <c r="F59" s="30"/>
      <c r="G59" s="30"/>
      <c r="H59" s="30"/>
      <c r="I59" s="30"/>
      <c r="J59" s="30"/>
      <c r="K59" s="30"/>
      <c r="L59" s="30"/>
      <c r="M59" s="30">
        <f t="shared" si="0"/>
        <v>1</v>
      </c>
    </row>
    <row r="60" spans="1:13">
      <c r="A60" s="40" t="str">
        <f>"401510063"</f>
        <v>401510063</v>
      </c>
      <c r="B60" s="40" t="s">
        <v>1247</v>
      </c>
      <c r="C60" s="30">
        <v>1</v>
      </c>
      <c r="D60" s="30"/>
      <c r="E60" s="30"/>
      <c r="F60" s="30"/>
      <c r="G60" s="30"/>
      <c r="H60" s="30">
        <v>1</v>
      </c>
      <c r="I60" s="30"/>
      <c r="J60" s="30"/>
      <c r="K60" s="30"/>
      <c r="L60" s="30"/>
      <c r="M60" s="30">
        <f t="shared" si="0"/>
        <v>2</v>
      </c>
    </row>
    <row r="61" spans="1:13">
      <c r="A61" s="40" t="str">
        <f>"401510064"</f>
        <v>401510064</v>
      </c>
      <c r="B61" s="40" t="s">
        <v>1283</v>
      </c>
      <c r="C61" s="30">
        <v>1</v>
      </c>
      <c r="D61" s="30"/>
      <c r="E61" s="30"/>
      <c r="F61" s="30"/>
      <c r="G61" s="30"/>
      <c r="H61" s="30"/>
      <c r="I61" s="30"/>
      <c r="J61" s="30"/>
      <c r="K61" s="30"/>
      <c r="L61" s="30"/>
      <c r="M61" s="30">
        <f t="shared" si="0"/>
        <v>1</v>
      </c>
    </row>
    <row r="62" spans="1:13">
      <c r="A62" s="40" t="str">
        <f>"401510065"</f>
        <v>401510065</v>
      </c>
      <c r="B62" s="40" t="s">
        <v>1327</v>
      </c>
      <c r="C62" s="30"/>
      <c r="D62" s="30"/>
      <c r="E62" s="30"/>
      <c r="F62" s="30"/>
      <c r="G62" s="30"/>
      <c r="H62" s="30"/>
      <c r="I62" s="30"/>
      <c r="J62" s="30">
        <v>1</v>
      </c>
      <c r="K62" s="30"/>
      <c r="L62" s="30"/>
      <c r="M62" s="30">
        <f t="shared" si="0"/>
        <v>1</v>
      </c>
    </row>
    <row r="63" spans="1:13">
      <c r="A63" s="40" t="str">
        <f>"401510066"</f>
        <v>401510066</v>
      </c>
      <c r="B63" s="40" t="s">
        <v>1284</v>
      </c>
      <c r="C63" s="30">
        <v>1</v>
      </c>
      <c r="D63" s="30"/>
      <c r="E63" s="30"/>
      <c r="F63" s="30"/>
      <c r="G63" s="30">
        <v>1</v>
      </c>
      <c r="H63" s="30">
        <v>1</v>
      </c>
      <c r="I63" s="30"/>
      <c r="J63" s="30"/>
      <c r="K63" s="30"/>
      <c r="L63" s="30"/>
      <c r="M63" s="30">
        <f t="shared" si="0"/>
        <v>3</v>
      </c>
    </row>
    <row r="64" spans="1:13">
      <c r="A64" s="40" t="str">
        <f>"401510067"</f>
        <v>401510067</v>
      </c>
      <c r="B64" s="40" t="s">
        <v>1248</v>
      </c>
      <c r="C64" s="30">
        <v>1</v>
      </c>
      <c r="D64" s="30"/>
      <c r="E64" s="30"/>
      <c r="F64" s="30"/>
      <c r="G64" s="30"/>
      <c r="H64" s="30">
        <v>1</v>
      </c>
      <c r="I64" s="30"/>
      <c r="J64" s="30"/>
      <c r="K64" s="30"/>
      <c r="L64" s="30"/>
      <c r="M64" s="30">
        <f t="shared" si="0"/>
        <v>2</v>
      </c>
    </row>
    <row r="65" spans="1:13">
      <c r="A65" s="40" t="str">
        <f>"401510068"</f>
        <v>401510068</v>
      </c>
      <c r="B65" s="40" t="s">
        <v>1285</v>
      </c>
      <c r="C65" s="30">
        <v>1</v>
      </c>
      <c r="D65" s="30"/>
      <c r="E65" s="30"/>
      <c r="F65" s="30"/>
      <c r="G65" s="30"/>
      <c r="H65" s="30"/>
      <c r="I65" s="30"/>
      <c r="J65" s="30"/>
      <c r="K65" s="30"/>
      <c r="L65" s="30"/>
      <c r="M65" s="30">
        <f t="shared" si="0"/>
        <v>1</v>
      </c>
    </row>
    <row r="66" spans="1:13">
      <c r="A66" s="40" t="str">
        <f>"401510069"</f>
        <v>401510069</v>
      </c>
      <c r="B66" s="40" t="s">
        <v>1249</v>
      </c>
      <c r="C66" s="30">
        <v>1</v>
      </c>
      <c r="D66" s="30"/>
      <c r="E66" s="30"/>
      <c r="F66" s="30"/>
      <c r="G66" s="30"/>
      <c r="H66" s="30">
        <v>1</v>
      </c>
      <c r="I66" s="30"/>
      <c r="J66" s="30"/>
      <c r="K66" s="30"/>
      <c r="L66" s="30"/>
      <c r="M66" s="30">
        <f t="shared" si="0"/>
        <v>2</v>
      </c>
    </row>
    <row r="67" spans="1:13">
      <c r="A67" s="40" t="str">
        <f>"401510070"</f>
        <v>401510070</v>
      </c>
      <c r="B67" s="40" t="s">
        <v>1286</v>
      </c>
      <c r="C67" s="30">
        <v>1</v>
      </c>
      <c r="D67" s="30"/>
      <c r="E67" s="30">
        <v>1</v>
      </c>
      <c r="F67" s="30"/>
      <c r="G67" s="30"/>
      <c r="H67" s="30"/>
      <c r="I67" s="30"/>
      <c r="J67" s="30"/>
      <c r="K67" s="30"/>
      <c r="L67" s="30"/>
      <c r="M67" s="30">
        <f t="shared" si="0"/>
        <v>2</v>
      </c>
    </row>
    <row r="68" spans="1:13">
      <c r="A68" s="40" t="str">
        <f>"401510071"</f>
        <v>401510071</v>
      </c>
      <c r="B68" s="40" t="s">
        <v>1250</v>
      </c>
      <c r="C68" s="30">
        <v>1</v>
      </c>
      <c r="D68" s="30"/>
      <c r="E68" s="30"/>
      <c r="F68" s="30"/>
      <c r="G68" s="30"/>
      <c r="H68" s="30"/>
      <c r="I68" s="30"/>
      <c r="J68" s="30"/>
      <c r="K68" s="30"/>
      <c r="L68" s="30"/>
      <c r="M68" s="30">
        <f t="shared" ref="M68:M107" si="1">SUM(C68:L68)</f>
        <v>1</v>
      </c>
    </row>
    <row r="69" spans="1:13">
      <c r="A69" s="40" t="str">
        <f>"401510072"</f>
        <v>401510072</v>
      </c>
      <c r="B69" s="40" t="s">
        <v>1287</v>
      </c>
      <c r="C69" s="30">
        <v>1</v>
      </c>
      <c r="D69" s="30"/>
      <c r="E69" s="30"/>
      <c r="F69" s="30"/>
      <c r="G69" s="30"/>
      <c r="H69" s="30"/>
      <c r="I69" s="30"/>
      <c r="J69" s="30"/>
      <c r="K69" s="30"/>
      <c r="L69" s="30"/>
      <c r="M69" s="30">
        <f t="shared" si="1"/>
        <v>1</v>
      </c>
    </row>
    <row r="70" spans="1:13">
      <c r="A70" s="40" t="str">
        <f>"401510073"</f>
        <v>401510073</v>
      </c>
      <c r="B70" s="40" t="s">
        <v>1251</v>
      </c>
      <c r="C70" s="30">
        <v>1</v>
      </c>
      <c r="D70" s="30"/>
      <c r="E70" s="30"/>
      <c r="F70" s="30"/>
      <c r="G70" s="30"/>
      <c r="H70" s="30">
        <v>1</v>
      </c>
      <c r="I70" s="30"/>
      <c r="J70" s="30"/>
      <c r="K70" s="30"/>
      <c r="L70" s="30"/>
      <c r="M70" s="30">
        <f t="shared" si="1"/>
        <v>2</v>
      </c>
    </row>
    <row r="71" spans="1:13">
      <c r="A71" s="40" t="str">
        <f>"401510074"</f>
        <v>401510074</v>
      </c>
      <c r="B71" s="40" t="s">
        <v>1328</v>
      </c>
      <c r="C71" s="30"/>
      <c r="D71" s="30"/>
      <c r="E71" s="30"/>
      <c r="F71" s="30"/>
      <c r="G71" s="30"/>
      <c r="H71" s="30">
        <v>1</v>
      </c>
      <c r="I71" s="30"/>
      <c r="J71" s="30"/>
      <c r="K71" s="30"/>
      <c r="L71" s="30"/>
      <c r="M71" s="30">
        <f t="shared" si="1"/>
        <v>1</v>
      </c>
    </row>
    <row r="72" spans="1:13">
      <c r="A72" s="40" t="str">
        <f>"401510075"</f>
        <v>401510075</v>
      </c>
      <c r="B72" s="40" t="s">
        <v>1252</v>
      </c>
      <c r="C72" s="30">
        <v>1</v>
      </c>
      <c r="D72" s="30"/>
      <c r="E72" s="30"/>
      <c r="F72" s="30"/>
      <c r="G72" s="30"/>
      <c r="H72" s="30"/>
      <c r="I72" s="30"/>
      <c r="J72" s="30"/>
      <c r="K72" s="30"/>
      <c r="L72" s="30"/>
      <c r="M72" s="30">
        <f t="shared" si="1"/>
        <v>1</v>
      </c>
    </row>
    <row r="73" spans="1:13">
      <c r="A73" s="40" t="str">
        <f>"401510076"</f>
        <v>401510076</v>
      </c>
      <c r="B73" s="40" t="s">
        <v>1288</v>
      </c>
      <c r="C73" s="30">
        <v>1</v>
      </c>
      <c r="D73" s="30"/>
      <c r="E73" s="30"/>
      <c r="F73" s="30"/>
      <c r="G73" s="30"/>
      <c r="H73" s="30"/>
      <c r="I73" s="30"/>
      <c r="J73" s="30"/>
      <c r="K73" s="30"/>
      <c r="L73" s="30"/>
      <c r="M73" s="30">
        <f t="shared" si="1"/>
        <v>1</v>
      </c>
    </row>
    <row r="74" spans="1:13">
      <c r="A74" s="40" t="str">
        <f>"401510077"</f>
        <v>401510077</v>
      </c>
      <c r="B74" s="40" t="s">
        <v>1329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>
        <f t="shared" si="1"/>
        <v>0</v>
      </c>
    </row>
    <row r="75" spans="1:13">
      <c r="A75" s="40" t="str">
        <f>"401510078"</f>
        <v>401510078</v>
      </c>
      <c r="B75" s="40" t="s">
        <v>1289</v>
      </c>
      <c r="C75" s="30">
        <v>1</v>
      </c>
      <c r="D75" s="30"/>
      <c r="E75" s="30"/>
      <c r="F75" s="30"/>
      <c r="G75" s="30"/>
      <c r="H75" s="30">
        <v>1</v>
      </c>
      <c r="I75" s="30"/>
      <c r="J75" s="30"/>
      <c r="K75" s="30"/>
      <c r="L75" s="30"/>
      <c r="M75" s="30">
        <f t="shared" si="1"/>
        <v>2</v>
      </c>
    </row>
    <row r="76" spans="1:13">
      <c r="A76" s="40" t="str">
        <f>"401510079"</f>
        <v>401510079</v>
      </c>
      <c r="B76" s="40" t="s">
        <v>1253</v>
      </c>
      <c r="C76" s="30" t="s">
        <v>1123</v>
      </c>
      <c r="D76" s="30"/>
      <c r="E76" s="30"/>
      <c r="F76" s="30"/>
      <c r="G76" s="30"/>
      <c r="H76" s="30"/>
      <c r="I76" s="30"/>
      <c r="J76" s="30"/>
      <c r="K76" s="30"/>
      <c r="L76" s="30"/>
      <c r="M76" s="30">
        <f t="shared" si="1"/>
        <v>0</v>
      </c>
    </row>
    <row r="77" spans="1:13">
      <c r="A77" s="40" t="str">
        <f>"401510080"</f>
        <v>401510080</v>
      </c>
      <c r="B77" s="40" t="s">
        <v>1290</v>
      </c>
      <c r="C77" s="30">
        <v>1</v>
      </c>
      <c r="D77" s="30"/>
      <c r="E77" s="30"/>
      <c r="F77" s="30"/>
      <c r="G77" s="30"/>
      <c r="H77" s="30"/>
      <c r="I77" s="30"/>
      <c r="J77" s="30"/>
      <c r="K77" s="30"/>
      <c r="L77" s="30"/>
      <c r="M77" s="30">
        <f t="shared" si="1"/>
        <v>1</v>
      </c>
    </row>
    <row r="78" spans="1:13">
      <c r="A78" s="40" t="str">
        <f>"401510081"</f>
        <v>401510081</v>
      </c>
      <c r="B78" s="40" t="s">
        <v>1254</v>
      </c>
      <c r="C78" s="30">
        <v>1</v>
      </c>
      <c r="D78" s="30"/>
      <c r="E78" s="30"/>
      <c r="F78" s="30"/>
      <c r="G78" s="30"/>
      <c r="H78" s="30">
        <v>1</v>
      </c>
      <c r="I78" s="30"/>
      <c r="J78" s="30"/>
      <c r="K78" s="30"/>
      <c r="L78" s="30"/>
      <c r="M78" s="30">
        <f t="shared" si="1"/>
        <v>2</v>
      </c>
    </row>
    <row r="79" spans="1:13">
      <c r="A79" s="40" t="str">
        <f>"401510082"</f>
        <v>401510082</v>
      </c>
      <c r="B79" s="40" t="s">
        <v>1291</v>
      </c>
      <c r="C79" s="30" t="s">
        <v>1123</v>
      </c>
      <c r="D79" s="30"/>
      <c r="E79" s="30"/>
      <c r="F79" s="30"/>
      <c r="G79" s="30"/>
      <c r="H79" s="30"/>
      <c r="I79" s="30"/>
      <c r="J79" s="30"/>
      <c r="K79" s="30"/>
      <c r="L79" s="30"/>
      <c r="M79" s="30">
        <f t="shared" si="1"/>
        <v>0</v>
      </c>
    </row>
    <row r="80" spans="1:13">
      <c r="A80" s="40" t="str">
        <f>"401510083"</f>
        <v>401510083</v>
      </c>
      <c r="B80" s="40" t="s">
        <v>1255</v>
      </c>
      <c r="C80" s="30">
        <v>1</v>
      </c>
      <c r="D80" s="30"/>
      <c r="E80" s="30"/>
      <c r="F80" s="30"/>
      <c r="G80" s="30"/>
      <c r="H80" s="30"/>
      <c r="I80" s="30"/>
      <c r="J80" s="30"/>
      <c r="K80" s="30"/>
      <c r="L80" s="30"/>
      <c r="M80" s="30">
        <f t="shared" si="1"/>
        <v>1</v>
      </c>
    </row>
    <row r="81" spans="1:13">
      <c r="A81" s="40" t="str">
        <f>"401510084"</f>
        <v>401510084</v>
      </c>
      <c r="B81" s="40" t="s">
        <v>1292</v>
      </c>
      <c r="C81" s="30">
        <v>1</v>
      </c>
      <c r="D81" s="30"/>
      <c r="E81" s="30"/>
      <c r="F81" s="30"/>
      <c r="G81" s="30">
        <v>1</v>
      </c>
      <c r="H81" s="30">
        <v>1</v>
      </c>
      <c r="I81" s="30"/>
      <c r="J81" s="30"/>
      <c r="K81" s="30"/>
      <c r="L81" s="30"/>
      <c r="M81" s="30">
        <f t="shared" si="1"/>
        <v>3</v>
      </c>
    </row>
    <row r="82" spans="1:13">
      <c r="A82" s="40" t="str">
        <f>"401510085"</f>
        <v>401510085</v>
      </c>
      <c r="B82" s="40" t="s">
        <v>1256</v>
      </c>
      <c r="C82" s="30">
        <v>1</v>
      </c>
      <c r="D82" s="30"/>
      <c r="E82" s="30"/>
      <c r="F82" s="30"/>
      <c r="G82" s="30"/>
      <c r="H82" s="30">
        <v>1</v>
      </c>
      <c r="I82" s="30"/>
      <c r="J82" s="30"/>
      <c r="K82" s="30"/>
      <c r="L82" s="30"/>
      <c r="M82" s="30">
        <f t="shared" si="1"/>
        <v>2</v>
      </c>
    </row>
    <row r="83" spans="1:13">
      <c r="A83" s="40" t="str">
        <f>"401510086"</f>
        <v>401510086</v>
      </c>
      <c r="B83" s="40" t="s">
        <v>1293</v>
      </c>
      <c r="C83" s="30">
        <v>1</v>
      </c>
      <c r="D83" s="30"/>
      <c r="E83" s="30">
        <v>1</v>
      </c>
      <c r="F83" s="30"/>
      <c r="G83" s="30"/>
      <c r="H83" s="30">
        <v>1</v>
      </c>
      <c r="I83" s="30"/>
      <c r="J83" s="30"/>
      <c r="K83" s="30"/>
      <c r="L83" s="30"/>
      <c r="M83" s="30">
        <f t="shared" si="1"/>
        <v>3</v>
      </c>
    </row>
    <row r="84" spans="1:13">
      <c r="A84" s="40" t="str">
        <f>"401510087"</f>
        <v>401510087</v>
      </c>
      <c r="B84" s="40" t="s">
        <v>1257</v>
      </c>
      <c r="C84" s="30">
        <v>1</v>
      </c>
      <c r="D84" s="30"/>
      <c r="E84" s="30"/>
      <c r="F84" s="30"/>
      <c r="G84" s="30"/>
      <c r="H84" s="30"/>
      <c r="I84" s="30"/>
      <c r="J84" s="30"/>
      <c r="K84" s="30"/>
      <c r="L84" s="30"/>
      <c r="M84" s="30">
        <f t="shared" si="1"/>
        <v>1</v>
      </c>
    </row>
    <row r="85" spans="1:13">
      <c r="A85" s="40" t="str">
        <f>"401510089"</f>
        <v>401510089</v>
      </c>
      <c r="B85" s="40" t="s">
        <v>1258</v>
      </c>
      <c r="C85" s="30">
        <v>1</v>
      </c>
      <c r="D85" s="30"/>
      <c r="E85" s="30"/>
      <c r="F85" s="30"/>
      <c r="G85" s="30"/>
      <c r="H85" s="30"/>
      <c r="I85" s="30"/>
      <c r="J85" s="30">
        <v>1</v>
      </c>
      <c r="K85" s="30"/>
      <c r="L85" s="30"/>
      <c r="M85" s="30">
        <f t="shared" si="1"/>
        <v>2</v>
      </c>
    </row>
    <row r="86" spans="1:13">
      <c r="A86" s="40" t="str">
        <f>"401510090"</f>
        <v>401510090</v>
      </c>
      <c r="B86" s="40" t="s">
        <v>1294</v>
      </c>
      <c r="C86" s="30">
        <v>1</v>
      </c>
      <c r="D86" s="30"/>
      <c r="E86" s="30"/>
      <c r="F86" s="30"/>
      <c r="G86" s="30"/>
      <c r="H86" s="30"/>
      <c r="I86" s="30"/>
      <c r="J86" s="30"/>
      <c r="K86" s="30"/>
      <c r="L86" s="30"/>
      <c r="M86" s="30">
        <f t="shared" si="1"/>
        <v>1</v>
      </c>
    </row>
    <row r="87" spans="1:13">
      <c r="A87" s="40" t="str">
        <f>"401510091"</f>
        <v>401510091</v>
      </c>
      <c r="B87" s="40" t="s">
        <v>1330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>
        <f t="shared" si="1"/>
        <v>0</v>
      </c>
    </row>
    <row r="88" spans="1:13">
      <c r="A88" s="40" t="str">
        <f>"401510092"</f>
        <v>401510092</v>
      </c>
      <c r="B88" s="40" t="s">
        <v>1295</v>
      </c>
      <c r="C88" s="30">
        <v>1</v>
      </c>
      <c r="D88" s="30"/>
      <c r="E88" s="30"/>
      <c r="F88" s="30"/>
      <c r="G88" s="30"/>
      <c r="H88" s="30">
        <v>1</v>
      </c>
      <c r="I88" s="30"/>
      <c r="J88" s="30"/>
      <c r="K88" s="30"/>
      <c r="L88" s="30"/>
      <c r="M88" s="30">
        <f t="shared" si="1"/>
        <v>2</v>
      </c>
    </row>
    <row r="89" spans="1:13">
      <c r="A89" s="40" t="str">
        <f>"401510093"</f>
        <v>401510093</v>
      </c>
      <c r="B89" s="40" t="s">
        <v>1331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>
        <f t="shared" si="1"/>
        <v>0</v>
      </c>
    </row>
    <row r="90" spans="1:13">
      <c r="A90" s="40" t="str">
        <f>"401510094"</f>
        <v>401510094</v>
      </c>
      <c r="B90" s="40" t="s">
        <v>1332</v>
      </c>
      <c r="C90" s="30"/>
      <c r="D90" s="30"/>
      <c r="E90" s="30"/>
      <c r="F90" s="30"/>
      <c r="G90" s="30"/>
      <c r="H90" s="30">
        <v>1</v>
      </c>
      <c r="I90" s="30"/>
      <c r="J90" s="30"/>
      <c r="K90" s="30"/>
      <c r="L90" s="30"/>
      <c r="M90" s="30">
        <f t="shared" si="1"/>
        <v>1</v>
      </c>
    </row>
    <row r="91" spans="1:13">
      <c r="A91" s="40" t="str">
        <f>"401510095"</f>
        <v>401510095</v>
      </c>
      <c r="B91" s="40" t="s">
        <v>1259</v>
      </c>
      <c r="C91" s="30">
        <v>1</v>
      </c>
      <c r="D91" s="30"/>
      <c r="E91" s="30"/>
      <c r="F91" s="30"/>
      <c r="G91" s="30"/>
      <c r="H91" s="30"/>
      <c r="I91" s="30"/>
      <c r="J91" s="30"/>
      <c r="K91" s="30"/>
      <c r="L91" s="30"/>
      <c r="M91" s="30">
        <f t="shared" si="1"/>
        <v>1</v>
      </c>
    </row>
    <row r="92" spans="1:13">
      <c r="A92" s="40" t="str">
        <f>"401510096"</f>
        <v>401510096</v>
      </c>
      <c r="B92" s="40" t="s">
        <v>1296</v>
      </c>
      <c r="C92" s="30">
        <v>1</v>
      </c>
      <c r="D92" s="30"/>
      <c r="E92" s="30"/>
      <c r="F92" s="30"/>
      <c r="G92" s="30"/>
      <c r="H92" s="30">
        <v>1</v>
      </c>
      <c r="I92" s="30"/>
      <c r="J92" s="30"/>
      <c r="K92" s="30"/>
      <c r="L92" s="30"/>
      <c r="M92" s="30">
        <f t="shared" si="1"/>
        <v>2</v>
      </c>
    </row>
    <row r="93" spans="1:13">
      <c r="A93" s="40" t="str">
        <f>"401510098"</f>
        <v>401510098</v>
      </c>
      <c r="B93" s="40" t="s">
        <v>1333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>
        <f t="shared" si="1"/>
        <v>0</v>
      </c>
    </row>
    <row r="94" spans="1:13">
      <c r="A94" s="40" t="str">
        <f>"401510099"</f>
        <v>401510099</v>
      </c>
      <c r="B94" s="40" t="s">
        <v>1260</v>
      </c>
      <c r="C94" s="30">
        <v>1</v>
      </c>
      <c r="D94" s="30"/>
      <c r="E94" s="30"/>
      <c r="F94" s="30"/>
      <c r="G94" s="30">
        <v>1</v>
      </c>
      <c r="H94" s="30">
        <v>1</v>
      </c>
      <c r="I94" s="30"/>
      <c r="J94" s="30"/>
      <c r="K94" s="30"/>
      <c r="L94" s="30"/>
      <c r="M94" s="30">
        <f t="shared" si="1"/>
        <v>3</v>
      </c>
    </row>
    <row r="95" spans="1:13">
      <c r="A95" s="40" t="str">
        <f>"401510100"</f>
        <v>401510100</v>
      </c>
      <c r="B95" s="40" t="s">
        <v>1297</v>
      </c>
      <c r="C95" s="30">
        <v>1</v>
      </c>
      <c r="D95" s="30"/>
      <c r="E95" s="30"/>
      <c r="F95" s="30"/>
      <c r="G95" s="30"/>
      <c r="H95" s="30"/>
      <c r="I95" s="30"/>
      <c r="J95" s="30"/>
      <c r="K95" s="30"/>
      <c r="L95" s="30"/>
      <c r="M95" s="30">
        <f t="shared" si="1"/>
        <v>1</v>
      </c>
    </row>
    <row r="96" spans="1:13">
      <c r="A96" s="40" t="str">
        <f>"401510101"</f>
        <v>401510101</v>
      </c>
      <c r="B96" s="40" t="s">
        <v>1334</v>
      </c>
      <c r="C96" s="30"/>
      <c r="D96" s="30"/>
      <c r="E96" s="30"/>
      <c r="F96" s="30"/>
      <c r="G96" s="30"/>
      <c r="H96" s="30">
        <v>1</v>
      </c>
      <c r="I96" s="30"/>
      <c r="J96" s="30"/>
      <c r="K96" s="30"/>
      <c r="L96" s="30"/>
      <c r="M96" s="30">
        <f t="shared" si="1"/>
        <v>1</v>
      </c>
    </row>
    <row r="97" spans="1:13">
      <c r="A97" s="40" t="str">
        <f>"401510102"</f>
        <v>401510102</v>
      </c>
      <c r="B97" s="40" t="s">
        <v>1298</v>
      </c>
      <c r="C97" s="30">
        <v>1</v>
      </c>
      <c r="D97" s="30"/>
      <c r="E97" s="30"/>
      <c r="F97" s="30"/>
      <c r="G97" s="30"/>
      <c r="H97" s="30">
        <v>1</v>
      </c>
      <c r="I97" s="30"/>
      <c r="J97" s="30"/>
      <c r="K97" s="30"/>
      <c r="L97" s="30"/>
      <c r="M97" s="30">
        <f t="shared" si="1"/>
        <v>2</v>
      </c>
    </row>
    <row r="98" spans="1:13">
      <c r="A98" s="40" t="str">
        <f>"401510104"</f>
        <v>401510104</v>
      </c>
      <c r="B98" s="40" t="s">
        <v>1299</v>
      </c>
      <c r="C98" s="30">
        <v>1</v>
      </c>
      <c r="D98" s="30"/>
      <c r="E98" s="30">
        <v>1</v>
      </c>
      <c r="F98" s="30"/>
      <c r="G98" s="30"/>
      <c r="H98" s="30"/>
      <c r="I98" s="30"/>
      <c r="J98" s="30"/>
      <c r="K98" s="30"/>
      <c r="L98" s="30"/>
      <c r="M98" s="30">
        <f t="shared" si="1"/>
        <v>2</v>
      </c>
    </row>
    <row r="99" spans="1:13">
      <c r="A99" s="40" t="str">
        <f>"401510105"</f>
        <v>401510105</v>
      </c>
      <c r="B99" s="40" t="s">
        <v>1261</v>
      </c>
      <c r="C99" s="30">
        <v>1</v>
      </c>
      <c r="D99" s="30"/>
      <c r="E99" s="30"/>
      <c r="F99" s="30"/>
      <c r="G99" s="30"/>
      <c r="H99" s="30">
        <v>1</v>
      </c>
      <c r="I99" s="30"/>
      <c r="J99" s="30"/>
      <c r="K99" s="30"/>
      <c r="L99" s="30"/>
      <c r="M99" s="30">
        <f t="shared" si="1"/>
        <v>2</v>
      </c>
    </row>
    <row r="100" spans="1:13">
      <c r="A100" s="40" t="str">
        <f>"401510106"</f>
        <v>401510106</v>
      </c>
      <c r="B100" s="40" t="s">
        <v>1300</v>
      </c>
      <c r="C100" s="30">
        <v>1</v>
      </c>
      <c r="D100" s="30">
        <v>1</v>
      </c>
      <c r="E100" s="30"/>
      <c r="F100" s="30"/>
      <c r="G100" s="30"/>
      <c r="H100" s="30">
        <v>1</v>
      </c>
      <c r="I100" s="30"/>
      <c r="J100" s="30"/>
      <c r="K100" s="30"/>
      <c r="L100" s="30"/>
      <c r="M100" s="30">
        <f t="shared" si="1"/>
        <v>3</v>
      </c>
    </row>
    <row r="101" spans="1:13">
      <c r="A101" s="15">
        <v>401510108</v>
      </c>
      <c r="B101" s="14" t="s">
        <v>1472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>
        <f t="shared" si="1"/>
        <v>0</v>
      </c>
    </row>
    <row r="102" spans="1:13">
      <c r="A102" s="15">
        <v>401510109</v>
      </c>
      <c r="B102" s="14" t="s">
        <v>1473</v>
      </c>
      <c r="C102" s="30"/>
      <c r="D102" s="30"/>
      <c r="E102" s="30"/>
      <c r="F102" s="30"/>
      <c r="G102" s="30"/>
      <c r="H102" s="30">
        <v>1</v>
      </c>
      <c r="I102" s="30"/>
      <c r="J102" s="30"/>
      <c r="K102" s="30"/>
      <c r="L102" s="30"/>
      <c r="M102" s="30">
        <f t="shared" si="1"/>
        <v>1</v>
      </c>
    </row>
    <row r="103" spans="1:13">
      <c r="A103" s="15">
        <v>401510110</v>
      </c>
      <c r="B103" s="14" t="s">
        <v>1474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>
        <f t="shared" si="1"/>
        <v>0</v>
      </c>
    </row>
    <row r="104" spans="1:13">
      <c r="A104" s="15">
        <v>401510111</v>
      </c>
      <c r="B104" s="14" t="s">
        <v>1475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>
        <f t="shared" si="1"/>
        <v>0</v>
      </c>
    </row>
    <row r="105" spans="1:13">
      <c r="A105" s="15">
        <v>401510112</v>
      </c>
      <c r="B105" s="14" t="s">
        <v>1476</v>
      </c>
      <c r="C105" s="30"/>
      <c r="D105" s="30"/>
      <c r="E105" s="30"/>
      <c r="F105" s="30"/>
      <c r="G105" s="30"/>
      <c r="H105" s="30">
        <v>1</v>
      </c>
      <c r="I105" s="30"/>
      <c r="J105" s="30"/>
      <c r="K105" s="30"/>
      <c r="L105" s="30"/>
      <c r="M105" s="30">
        <f t="shared" si="1"/>
        <v>1</v>
      </c>
    </row>
    <row r="106" spans="1:13">
      <c r="A106" s="15">
        <v>401510113</v>
      </c>
      <c r="B106" s="14" t="s">
        <v>1477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>
        <f t="shared" si="1"/>
        <v>0</v>
      </c>
    </row>
    <row r="107" spans="1:13">
      <c r="A107" s="15">
        <v>401510114</v>
      </c>
      <c r="B107" s="14" t="s">
        <v>1500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>
        <f t="shared" si="1"/>
        <v>0</v>
      </c>
    </row>
    <row r="108" spans="1:13">
      <c r="A108" s="68"/>
      <c r="B108" s="68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68"/>
      <c r="B109" s="68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1" spans="1:13">
      <c r="H111" t="s">
        <v>1203</v>
      </c>
      <c r="I111">
        <f>MEDIAN(M3:M107)</f>
        <v>1</v>
      </c>
    </row>
    <row r="113" spans="1:7">
      <c r="A113" s="39" t="s">
        <v>1315</v>
      </c>
    </row>
    <row r="114" spans="1:7">
      <c r="A114" s="39" t="s">
        <v>1363</v>
      </c>
    </row>
    <row r="115" spans="1:7">
      <c r="A115" s="39" t="s">
        <v>1469</v>
      </c>
    </row>
    <row r="116" spans="1:7">
      <c r="A116" s="39" t="s">
        <v>1483</v>
      </c>
    </row>
    <row r="117" spans="1:7">
      <c r="A117" s="39" t="s">
        <v>1485</v>
      </c>
    </row>
    <row r="118" spans="1:7">
      <c r="A118" s="39" t="s">
        <v>1498</v>
      </c>
    </row>
    <row r="119" spans="1:7">
      <c r="A119" s="129" t="s">
        <v>1502</v>
      </c>
      <c r="B119" s="129"/>
      <c r="C119" s="129"/>
      <c r="D119" s="129"/>
      <c r="E119" s="129"/>
      <c r="F119" s="129"/>
      <c r="G119" s="129"/>
    </row>
    <row r="120" spans="1:7">
      <c r="A120" s="129" t="s">
        <v>1503</v>
      </c>
      <c r="B120" s="129"/>
      <c r="C120" s="129"/>
      <c r="D120" s="129"/>
      <c r="E120" s="129"/>
      <c r="F120" s="129"/>
      <c r="G120" s="129"/>
    </row>
    <row r="121" spans="1:7">
      <c r="A121" s="4" t="s">
        <v>1517</v>
      </c>
      <c r="B121" s="4"/>
      <c r="C121" s="2"/>
      <c r="D121" s="2"/>
      <c r="E121" s="2"/>
      <c r="F121" s="2"/>
      <c r="G121" s="2"/>
    </row>
    <row r="122" spans="1:7">
      <c r="A122" s="39" t="s">
        <v>1522</v>
      </c>
    </row>
  </sheetData>
  <mergeCells count="2">
    <mergeCell ref="A119:G119"/>
    <mergeCell ref="A120:G12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已命名的範圍</vt:lpstr>
      </vt:variant>
      <vt:variant>
        <vt:i4>4</vt:i4>
      </vt:variant>
    </vt:vector>
  </HeadingPairs>
  <TitlesOfParts>
    <vt:vector size="20" baseType="lpstr">
      <vt:lpstr>109學年入學</vt:lpstr>
      <vt:lpstr>108學年入學</vt:lpstr>
      <vt:lpstr>107學年入學</vt:lpstr>
      <vt:lpstr>106學年入學</vt:lpstr>
      <vt:lpstr>105學年入學</vt:lpstr>
      <vt:lpstr>104學年入學</vt:lpstr>
      <vt:lpstr>103學年入學</vt:lpstr>
      <vt:lpstr>102學年入學</vt:lpstr>
      <vt:lpstr>101學年入學</vt:lpstr>
      <vt:lpstr>100學年入學</vt:lpstr>
      <vt:lpstr>99學年入學</vt:lpstr>
      <vt:lpstr>98學年度入學</vt:lpstr>
      <vt:lpstr>97學年度入學</vt:lpstr>
      <vt:lpstr>96學年度入學</vt:lpstr>
      <vt:lpstr>95學年度入學</vt:lpstr>
      <vt:lpstr>94學年度以前入學</vt:lpstr>
      <vt:lpstr>'94學年度以前入學'!Print_Titles</vt:lpstr>
      <vt:lpstr>'95學年度入學'!Print_Titles</vt:lpstr>
      <vt:lpstr>'96學年度入學'!Print_Titles</vt:lpstr>
      <vt:lpstr>'97學年度入學'!Print_Titles</vt:lpstr>
    </vt:vector>
  </TitlesOfParts>
  <Company>CCU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</dc:creator>
  <cp:lastModifiedBy>Admin</cp:lastModifiedBy>
  <cp:lastPrinted>2011-12-27T02:07:57Z</cp:lastPrinted>
  <dcterms:created xsi:type="dcterms:W3CDTF">2008-12-26T02:48:34Z</dcterms:created>
  <dcterms:modified xsi:type="dcterms:W3CDTF">2020-10-27T00:38:49Z</dcterms:modified>
</cp:coreProperties>
</file>